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ITDHQ1FSP04\DMVFiles\STaR\Charlie's Projects\ARCHIVE\PERMITS\Project - Legal Weights Calculator\"/>
    </mc:Choice>
  </mc:AlternateContent>
  <bookViews>
    <workbookView xWindow="0" yWindow="540" windowWidth="28800" windowHeight="11670"/>
  </bookViews>
  <sheets>
    <sheet name="Weights by Axle" sheetId="1" r:id="rId1"/>
    <sheet name="Data" sheetId="2" state="hidden" r:id="rId2"/>
    <sheet name="Restrictions" sheetId="3" state="hidden" r:id="rId3"/>
    <sheet name="Input Error Detection" sheetId="5" state="hidden" r:id="rId4"/>
  </sheets>
  <definedNames>
    <definedName name="_xlnm._FilterDatabase" localSheetId="1" hidden="1">Data!$B$1:$B$94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7" i="5" l="1"/>
  <c r="A18" i="5"/>
  <c r="A19" i="5"/>
  <c r="A20" i="5"/>
  <c r="A21" i="5"/>
  <c r="A22" i="5"/>
  <c r="A23" i="5"/>
  <c r="A24" i="5"/>
  <c r="A25" i="5"/>
  <c r="A26" i="5"/>
  <c r="A27" i="5"/>
  <c r="A28" i="5"/>
  <c r="A29" i="5"/>
  <c r="A30" i="5"/>
  <c r="C14" i="5"/>
  <c r="B14" i="5"/>
  <c r="C13" i="5"/>
  <c r="B13" i="5"/>
  <c r="C12" i="5"/>
  <c r="B12" i="5"/>
  <c r="C11" i="5"/>
  <c r="B11" i="5"/>
  <c r="C10" i="5"/>
  <c r="B10" i="5"/>
  <c r="C9" i="5"/>
  <c r="B9" i="5"/>
  <c r="C8" i="5"/>
  <c r="B8" i="5"/>
  <c r="C7" i="5"/>
  <c r="B7" i="5"/>
  <c r="C6" i="5"/>
  <c r="B6" i="5"/>
  <c r="C5" i="5"/>
  <c r="B5" i="5"/>
  <c r="C4" i="5"/>
  <c r="B4" i="5"/>
  <c r="C3" i="5"/>
  <c r="B3" i="5"/>
  <c r="H13" i="5" l="1"/>
  <c r="H5" i="5"/>
  <c r="H9" i="5"/>
  <c r="H7" i="5"/>
  <c r="H12" i="5"/>
  <c r="H4" i="5"/>
  <c r="H8" i="5"/>
  <c r="H6" i="5"/>
  <c r="H11" i="5"/>
  <c r="H10" i="5"/>
  <c r="H3" i="5"/>
  <c r="D11" i="5"/>
  <c r="E12" i="5"/>
  <c r="E13" i="5"/>
  <c r="E11" i="5"/>
  <c r="D12" i="5"/>
  <c r="E7" i="5"/>
  <c r="E5" i="5"/>
  <c r="E4" i="5"/>
  <c r="E3" i="5"/>
  <c r="D3" i="5"/>
  <c r="D7" i="5"/>
  <c r="D4" i="5"/>
  <c r="D8" i="5"/>
  <c r="E9" i="5"/>
  <c r="E8" i="5"/>
  <c r="D14" i="5"/>
  <c r="D10" i="5"/>
  <c r="D6" i="5"/>
  <c r="E14" i="5"/>
  <c r="E10" i="5"/>
  <c r="E6" i="5"/>
  <c r="D13" i="5"/>
  <c r="D9" i="5"/>
  <c r="D5" i="5"/>
  <c r="G2" i="2"/>
  <c r="H15" i="5" l="1"/>
  <c r="B18" i="5"/>
  <c r="D15" i="5"/>
  <c r="E15" i="5"/>
  <c r="G14" i="2"/>
  <c r="B30" i="5" s="1"/>
  <c r="G13" i="2"/>
  <c r="B29" i="5" s="1"/>
  <c r="G12" i="2"/>
  <c r="B28" i="5" s="1"/>
  <c r="G11" i="2"/>
  <c r="B27" i="5" s="1"/>
  <c r="G10" i="2"/>
  <c r="B26" i="5" s="1"/>
  <c r="G9" i="2"/>
  <c r="B25" i="5" s="1"/>
  <c r="G8" i="2"/>
  <c r="B24" i="5" s="1"/>
  <c r="G7" i="2"/>
  <c r="B23" i="5" s="1"/>
  <c r="G6" i="2"/>
  <c r="B22" i="5" s="1"/>
  <c r="F22" i="5" s="1"/>
  <c r="O22" i="5" s="1"/>
  <c r="G5" i="2"/>
  <c r="B21" i="5" s="1"/>
  <c r="G4" i="2"/>
  <c r="G3" i="2"/>
  <c r="B19" i="5" s="1"/>
  <c r="E26" i="5" l="1"/>
  <c r="F26" i="5"/>
  <c r="O26" i="5" s="1"/>
  <c r="P26" i="5" s="1"/>
  <c r="F30" i="5"/>
  <c r="O30" i="5" s="1"/>
  <c r="P30" i="5" s="1"/>
  <c r="E27" i="5"/>
  <c r="F27" i="5"/>
  <c r="O27" i="5" s="1"/>
  <c r="P27" i="5" s="1"/>
  <c r="F23" i="5"/>
  <c r="O23" i="5" s="1"/>
  <c r="P23" i="5" s="1"/>
  <c r="F24" i="5"/>
  <c r="O24" i="5" s="1"/>
  <c r="P24" i="5" s="1"/>
  <c r="P28" i="5"/>
  <c r="F28" i="5"/>
  <c r="O28" i="5" s="1"/>
  <c r="E28" i="5"/>
  <c r="E29" i="5"/>
  <c r="F29" i="5"/>
  <c r="O29" i="5" s="1"/>
  <c r="P29" i="5" s="1"/>
  <c r="F19" i="5"/>
  <c r="O19" i="5" s="1"/>
  <c r="P19" i="5" s="1"/>
  <c r="F18" i="5"/>
  <c r="O18" i="5" s="1"/>
  <c r="E22" i="5"/>
  <c r="E25" i="5"/>
  <c r="E23" i="5"/>
  <c r="F25" i="5"/>
  <c r="O25" i="5" s="1"/>
  <c r="P25" i="5" s="1"/>
  <c r="E24" i="5"/>
  <c r="E21" i="5"/>
  <c r="F21" i="5"/>
  <c r="P22" i="5"/>
  <c r="F10" i="5"/>
  <c r="G10" i="5"/>
  <c r="D25" i="5"/>
  <c r="C25" i="5"/>
  <c r="F11" i="5"/>
  <c r="G11" i="5"/>
  <c r="C26" i="5"/>
  <c r="D26" i="5"/>
  <c r="F13" i="5"/>
  <c r="G13" i="5"/>
  <c r="D28" i="5"/>
  <c r="C28" i="5"/>
  <c r="K28" i="5" s="1"/>
  <c r="D30" i="5"/>
  <c r="C30" i="5"/>
  <c r="G9" i="5"/>
  <c r="F9" i="5"/>
  <c r="D24" i="5"/>
  <c r="C24" i="5"/>
  <c r="F12" i="5"/>
  <c r="G12" i="5"/>
  <c r="D27" i="5"/>
  <c r="C27" i="5"/>
  <c r="F14" i="5"/>
  <c r="G14" i="5"/>
  <c r="D29" i="5"/>
  <c r="C29" i="5"/>
  <c r="F8" i="5"/>
  <c r="G8" i="5"/>
  <c r="D23" i="5"/>
  <c r="C23" i="5"/>
  <c r="G7" i="5"/>
  <c r="F7" i="5"/>
  <c r="D22" i="5"/>
  <c r="C22" i="5"/>
  <c r="D21" i="5"/>
  <c r="F6" i="5"/>
  <c r="C21" i="5"/>
  <c r="G6" i="5"/>
  <c r="F3" i="5"/>
  <c r="G3" i="5"/>
  <c r="D19" i="5"/>
  <c r="C19" i="5"/>
  <c r="C18" i="5"/>
  <c r="D18" i="5"/>
  <c r="I10" i="2"/>
  <c r="AG6" i="1" s="1"/>
  <c r="B20" i="5"/>
  <c r="F20" i="5" s="1"/>
  <c r="O20" i="5" s="1"/>
  <c r="B3" i="3"/>
  <c r="C3" i="3" s="1"/>
  <c r="B2" i="3"/>
  <c r="C2" i="3" s="1"/>
  <c r="Q91" i="2"/>
  <c r="Q90" i="2"/>
  <c r="Q86" i="2"/>
  <c r="N76" i="1" s="1"/>
  <c r="Q60" i="2"/>
  <c r="N50" i="1" s="1"/>
  <c r="Q17" i="2"/>
  <c r="N7" i="1" s="1"/>
  <c r="Q29" i="2"/>
  <c r="N19" i="1" s="1"/>
  <c r="Q50" i="2"/>
  <c r="N40" i="1" s="1"/>
  <c r="Q51" i="2"/>
  <c r="N41" i="1" s="1"/>
  <c r="Q30" i="2"/>
  <c r="N20" i="1" s="1"/>
  <c r="Q20" i="2"/>
  <c r="N10" i="1" s="1"/>
  <c r="Q85" i="2"/>
  <c r="N75" i="1" s="1"/>
  <c r="Q74" i="2"/>
  <c r="N64" i="1" s="1"/>
  <c r="Q75" i="2"/>
  <c r="N65" i="1" s="1"/>
  <c r="Q31" i="2"/>
  <c r="N21" i="1" s="1"/>
  <c r="Q48" i="2"/>
  <c r="N38" i="1" s="1"/>
  <c r="Q32" i="2"/>
  <c r="N22" i="1" s="1"/>
  <c r="Q40" i="2"/>
  <c r="N30" i="1" s="1"/>
  <c r="Q44" i="2"/>
  <c r="N34" i="1" s="1"/>
  <c r="Q52" i="2"/>
  <c r="N42" i="1" s="1"/>
  <c r="Q61" i="2"/>
  <c r="N51" i="1" s="1"/>
  <c r="Q33" i="2"/>
  <c r="N23" i="1" s="1"/>
  <c r="Q41" i="2"/>
  <c r="N31" i="1" s="1"/>
  <c r="Q53" i="2"/>
  <c r="N43" i="1" s="1"/>
  <c r="Q67" i="2"/>
  <c r="N57" i="1" s="1"/>
  <c r="Q42" i="2"/>
  <c r="N32" i="1" s="1"/>
  <c r="Q59" i="2"/>
  <c r="N49" i="1" s="1"/>
  <c r="Q68" i="2"/>
  <c r="N58" i="1" s="1"/>
  <c r="Q34" i="2"/>
  <c r="N24" i="1" s="1"/>
  <c r="Q43" i="2"/>
  <c r="N33" i="1" s="1"/>
  <c r="Q79" i="2"/>
  <c r="Q93" i="2"/>
  <c r="Q28" i="2"/>
  <c r="N18" i="1" s="1"/>
  <c r="Q49" i="2"/>
  <c r="N39" i="1" s="1"/>
  <c r="Q84" i="2"/>
  <c r="Q94" i="2"/>
  <c r="Q39" i="2"/>
  <c r="N29" i="1" s="1"/>
  <c r="Q58" i="2"/>
  <c r="N48" i="1" s="1"/>
  <c r="Q66" i="2"/>
  <c r="Q73" i="2"/>
  <c r="Q88" i="2"/>
  <c r="Q57" i="2"/>
  <c r="N47" i="1" s="1"/>
  <c r="Q27" i="2"/>
  <c r="N17" i="1" s="1"/>
  <c r="Q65" i="2"/>
  <c r="Q72" i="2"/>
  <c r="Q78" i="2"/>
  <c r="Q87" i="2"/>
  <c r="Q92" i="2"/>
  <c r="Q38" i="2"/>
  <c r="N28" i="1" s="1"/>
  <c r="Q83" i="2"/>
  <c r="Q64" i="2"/>
  <c r="N54" i="1" s="1"/>
  <c r="Q71" i="2"/>
  <c r="N61" i="1" s="1"/>
  <c r="Q82" i="2"/>
  <c r="N72" i="1" s="1"/>
  <c r="Q56" i="2"/>
  <c r="N46" i="1" s="1"/>
  <c r="Q77" i="2"/>
  <c r="N67" i="1" s="1"/>
  <c r="Q37" i="2"/>
  <c r="N27" i="1" s="1"/>
  <c r="Q47" i="2"/>
  <c r="N37" i="1" s="1"/>
  <c r="Q89" i="2"/>
  <c r="N79" i="1" s="1"/>
  <c r="Q26" i="2"/>
  <c r="N16" i="1" s="1"/>
  <c r="Q46" i="2"/>
  <c r="N36" i="1" s="1"/>
  <c r="Q55" i="2"/>
  <c r="N45" i="1" s="1"/>
  <c r="Q70" i="2"/>
  <c r="N60" i="1" s="1"/>
  <c r="Q25" i="2"/>
  <c r="N15" i="1" s="1"/>
  <c r="Q36" i="2"/>
  <c r="N26" i="1" s="1"/>
  <c r="Q63" i="2"/>
  <c r="N53" i="1" s="1"/>
  <c r="Q76" i="2"/>
  <c r="N66" i="1" s="1"/>
  <c r="Q81" i="2"/>
  <c r="N71" i="1" s="1"/>
  <c r="Q24" i="2"/>
  <c r="N14" i="1" s="1"/>
  <c r="Q45" i="2"/>
  <c r="N35" i="1" s="1"/>
  <c r="Q80" i="2"/>
  <c r="N70" i="1" s="1"/>
  <c r="Q54" i="2"/>
  <c r="N44" i="1" s="1"/>
  <c r="Q69" i="2"/>
  <c r="N59" i="1" s="1"/>
  <c r="Q35" i="2"/>
  <c r="N25" i="1" s="1"/>
  <c r="Q62" i="2"/>
  <c r="N52" i="1" s="1"/>
  <c r="Q18" i="2"/>
  <c r="N8" i="1" s="1"/>
  <c r="Q21" i="2"/>
  <c r="N11" i="1" s="1"/>
  <c r="Q22" i="2"/>
  <c r="N12" i="1" s="1"/>
  <c r="Q19" i="2"/>
  <c r="N9" i="1" s="1"/>
  <c r="Q23" i="2"/>
  <c r="N13" i="1" s="1"/>
  <c r="K25" i="5" l="1"/>
  <c r="K21" i="5"/>
  <c r="E18" i="5"/>
  <c r="K18" i="5" s="1"/>
  <c r="R91" i="2"/>
  <c r="U91" i="2" s="1"/>
  <c r="R81" i="1" s="1"/>
  <c r="N81" i="1"/>
  <c r="R88" i="2"/>
  <c r="N78" i="1"/>
  <c r="R92" i="2"/>
  <c r="U92" i="2" s="1"/>
  <c r="R82" i="1" s="1"/>
  <c r="N82" i="1"/>
  <c r="R94" i="2"/>
  <c r="N84" i="1"/>
  <c r="R93" i="2"/>
  <c r="U93" i="2" s="1"/>
  <c r="R83" i="1" s="1"/>
  <c r="N83" i="1"/>
  <c r="K26" i="5"/>
  <c r="E20" i="5"/>
  <c r="E19" i="5"/>
  <c r="R87" i="2"/>
  <c r="N77" i="1"/>
  <c r="R90" i="2"/>
  <c r="U90" i="2" s="1"/>
  <c r="R80" i="1" s="1"/>
  <c r="N80" i="1"/>
  <c r="K29" i="5"/>
  <c r="K27" i="5"/>
  <c r="K30" i="5"/>
  <c r="L30" i="5" s="1"/>
  <c r="K22" i="5"/>
  <c r="P18" i="5"/>
  <c r="K23" i="5"/>
  <c r="K24" i="5"/>
  <c r="K19" i="5"/>
  <c r="R83" i="2"/>
  <c r="N73" i="1"/>
  <c r="R79" i="2"/>
  <c r="U79" i="2" s="1"/>
  <c r="R69" i="1" s="1"/>
  <c r="N69" i="1"/>
  <c r="R84" i="2"/>
  <c r="U84" i="2" s="1"/>
  <c r="R74" i="1" s="1"/>
  <c r="N74" i="1"/>
  <c r="R78" i="2"/>
  <c r="U78" i="2" s="1"/>
  <c r="R68" i="1" s="1"/>
  <c r="N68" i="1"/>
  <c r="F31" i="5"/>
  <c r="C39" i="5" s="1"/>
  <c r="O21" i="5"/>
  <c r="P21" i="5" s="1"/>
  <c r="R73" i="2"/>
  <c r="U73" i="2" s="1"/>
  <c r="R63" i="1" s="1"/>
  <c r="N63" i="1"/>
  <c r="R72" i="2"/>
  <c r="U72" i="2" s="1"/>
  <c r="R62" i="1" s="1"/>
  <c r="N62" i="1"/>
  <c r="K12" i="5"/>
  <c r="K13" i="5"/>
  <c r="K10" i="5"/>
  <c r="K11" i="5"/>
  <c r="K8" i="5"/>
  <c r="K3" i="5"/>
  <c r="K14" i="5"/>
  <c r="L14" i="5" s="1"/>
  <c r="K7" i="5"/>
  <c r="K6" i="5"/>
  <c r="K9" i="5"/>
  <c r="P20" i="5"/>
  <c r="R65" i="2"/>
  <c r="U65" i="2" s="1"/>
  <c r="R55" i="1" s="1"/>
  <c r="N55" i="1"/>
  <c r="R66" i="2"/>
  <c r="U66" i="2" s="1"/>
  <c r="R56" i="1" s="1"/>
  <c r="N56" i="1"/>
  <c r="G5" i="5"/>
  <c r="F5" i="5"/>
  <c r="F4" i="5"/>
  <c r="G4" i="5"/>
  <c r="C20" i="5"/>
  <c r="C31" i="5" s="1"/>
  <c r="D20" i="5"/>
  <c r="D31" i="5" s="1"/>
  <c r="L29" i="5"/>
  <c r="U94" i="2"/>
  <c r="R84" i="1" s="1"/>
  <c r="U88" i="2"/>
  <c r="R78" i="1" s="1"/>
  <c r="U87" i="2"/>
  <c r="R77" i="1" s="1"/>
  <c r="U83" i="2"/>
  <c r="R73" i="1" s="1"/>
  <c r="C13" i="2"/>
  <c r="C12" i="2"/>
  <c r="C11" i="2"/>
  <c r="C10" i="2"/>
  <c r="C9" i="2"/>
  <c r="C8" i="2"/>
  <c r="C7" i="2"/>
  <c r="C6" i="2"/>
  <c r="C5" i="2"/>
  <c r="C4" i="2"/>
  <c r="C3" i="2"/>
  <c r="C2" i="2"/>
  <c r="B13" i="2"/>
  <c r="B12" i="2"/>
  <c r="B11" i="2"/>
  <c r="B10" i="2"/>
  <c r="B9" i="2"/>
  <c r="B8" i="2"/>
  <c r="B7" i="2"/>
  <c r="B6" i="2"/>
  <c r="B5" i="2"/>
  <c r="B4" i="2"/>
  <c r="B3" i="2"/>
  <c r="B2" i="2"/>
  <c r="E31" i="5" l="1"/>
  <c r="D39" i="5"/>
  <c r="K20" i="5"/>
  <c r="L20" i="5" s="1"/>
  <c r="C36" i="5"/>
  <c r="K5" i="5"/>
  <c r="L5" i="5" s="1"/>
  <c r="K4" i="5"/>
  <c r="L28" i="5"/>
  <c r="L27" i="5"/>
  <c r="L26" i="5"/>
  <c r="L25" i="5"/>
  <c r="L23" i="5"/>
  <c r="L24" i="5"/>
  <c r="G15" i="5"/>
  <c r="L21" i="5"/>
  <c r="L22" i="5"/>
  <c r="F15" i="5"/>
  <c r="L12" i="5"/>
  <c r="L13" i="5"/>
  <c r="L10" i="5"/>
  <c r="L11" i="5"/>
  <c r="L9" i="5"/>
  <c r="L8" i="5"/>
  <c r="L7" i="5"/>
  <c r="L6" i="5"/>
  <c r="D2" i="2"/>
  <c r="I2" i="2"/>
  <c r="AO6" i="1" s="1"/>
  <c r="B77" i="2"/>
  <c r="B67" i="1" s="1"/>
  <c r="B65" i="2"/>
  <c r="B55" i="1" s="1"/>
  <c r="B18" i="2"/>
  <c r="B8" i="1" s="1"/>
  <c r="B19" i="2"/>
  <c r="B9" i="1" s="1"/>
  <c r="B94" i="2"/>
  <c r="B84" i="1" s="1"/>
  <c r="B48" i="2"/>
  <c r="B38" i="1" s="1"/>
  <c r="B52" i="2"/>
  <c r="B42" i="1" s="1"/>
  <c r="B72" i="2"/>
  <c r="B62" i="1" s="1"/>
  <c r="B89" i="2"/>
  <c r="B79" i="1" s="1"/>
  <c r="D12" i="2"/>
  <c r="B38" i="2"/>
  <c r="B28" i="1" s="1"/>
  <c r="B50" i="2"/>
  <c r="B40" i="1" s="1"/>
  <c r="B71" i="2"/>
  <c r="B61" i="1" s="1"/>
  <c r="B69" i="2"/>
  <c r="B59" i="1" s="1"/>
  <c r="B17" i="2"/>
  <c r="B7" i="1" s="1"/>
  <c r="D10" i="2"/>
  <c r="B27" i="2"/>
  <c r="B17" i="1" s="1"/>
  <c r="B82" i="2"/>
  <c r="B72" i="1" s="1"/>
  <c r="B30" i="2"/>
  <c r="B20" i="1" s="1"/>
  <c r="B83" i="2"/>
  <c r="B73" i="1" s="1"/>
  <c r="D8" i="2"/>
  <c r="B34" i="2"/>
  <c r="B24" i="1" s="1"/>
  <c r="B67" i="2"/>
  <c r="B57" i="1" s="1"/>
  <c r="B60" i="2"/>
  <c r="B50" i="1" s="1"/>
  <c r="B43" i="2"/>
  <c r="B33" i="1" s="1"/>
  <c r="D6" i="2"/>
  <c r="B29" i="2"/>
  <c r="B19" i="1" s="1"/>
  <c r="B40" i="2"/>
  <c r="B30" i="1" s="1"/>
  <c r="B20" i="2"/>
  <c r="B10" i="1" s="1"/>
  <c r="B31" i="2"/>
  <c r="B21" i="1" s="1"/>
  <c r="B41" i="2"/>
  <c r="B31" i="1" s="1"/>
  <c r="B21" i="2"/>
  <c r="B11" i="1" s="1"/>
  <c r="B51" i="2"/>
  <c r="B41" i="1" s="1"/>
  <c r="B42" i="2"/>
  <c r="B32" i="1" s="1"/>
  <c r="B32" i="2"/>
  <c r="B22" i="1" s="1"/>
  <c r="B59" i="2"/>
  <c r="B49" i="1" s="1"/>
  <c r="B33" i="2"/>
  <c r="B23" i="1" s="1"/>
  <c r="B22" i="2"/>
  <c r="B12" i="1" s="1"/>
  <c r="B23" i="2"/>
  <c r="B13" i="1" s="1"/>
  <c r="B61" i="2"/>
  <c r="B51" i="1" s="1"/>
  <c r="B68" i="2"/>
  <c r="B58" i="1" s="1"/>
  <c r="B53" i="2"/>
  <c r="B43" i="1" s="1"/>
  <c r="B74" i="2"/>
  <c r="B64" i="1" s="1"/>
  <c r="B44" i="2"/>
  <c r="B34" i="1" s="1"/>
  <c r="B35" i="2"/>
  <c r="B25" i="1" s="1"/>
  <c r="B45" i="2"/>
  <c r="B35" i="1" s="1"/>
  <c r="B24" i="2"/>
  <c r="B14" i="1" s="1"/>
  <c r="B62" i="2"/>
  <c r="B52" i="1" s="1"/>
  <c r="B75" i="2"/>
  <c r="B65" i="1" s="1"/>
  <c r="B80" i="2"/>
  <c r="B70" i="1" s="1"/>
  <c r="B54" i="2"/>
  <c r="B44" i="1" s="1"/>
  <c r="B76" i="2"/>
  <c r="B66" i="1" s="1"/>
  <c r="B25" i="2"/>
  <c r="B15" i="1" s="1"/>
  <c r="B55" i="2"/>
  <c r="B45" i="1" s="1"/>
  <c r="B36" i="2"/>
  <c r="B26" i="1" s="1"/>
  <c r="B46" i="2"/>
  <c r="B36" i="1" s="1"/>
  <c r="B70" i="2"/>
  <c r="B60" i="1" s="1"/>
  <c r="B81" i="2"/>
  <c r="B71" i="1" s="1"/>
  <c r="B63" i="2"/>
  <c r="B53" i="1" s="1"/>
  <c r="B85" i="2"/>
  <c r="B75" i="1" s="1"/>
  <c r="B26" i="2"/>
  <c r="B16" i="1" s="1"/>
  <c r="B64" i="2"/>
  <c r="B54" i="1" s="1"/>
  <c r="B37" i="2"/>
  <c r="B27" i="1" s="1"/>
  <c r="B86" i="2"/>
  <c r="B76" i="1" s="1"/>
  <c r="B47" i="2"/>
  <c r="B37" i="1" s="1"/>
  <c r="B56" i="2"/>
  <c r="B46" i="1" s="1"/>
  <c r="B57" i="2"/>
  <c r="B47" i="1" s="1"/>
  <c r="B87" i="2"/>
  <c r="B77" i="1" s="1"/>
  <c r="B78" i="2"/>
  <c r="B68" i="1" s="1"/>
  <c r="B90" i="2"/>
  <c r="B80" i="1" s="1"/>
  <c r="B92" i="2"/>
  <c r="B82" i="1" s="1"/>
  <c r="B58" i="2"/>
  <c r="B48" i="1" s="1"/>
  <c r="B91" i="2"/>
  <c r="B81" i="1" s="1"/>
  <c r="B39" i="2"/>
  <c r="B29" i="1" s="1"/>
  <c r="B79" i="2"/>
  <c r="B69" i="1" s="1"/>
  <c r="B88" i="2"/>
  <c r="B78" i="1" s="1"/>
  <c r="B49" i="2"/>
  <c r="B39" i="1" s="1"/>
  <c r="B73" i="2"/>
  <c r="B63" i="1" s="1"/>
  <c r="B66" i="2"/>
  <c r="B56" i="1" s="1"/>
  <c r="B28" i="2"/>
  <c r="B18" i="1" s="1"/>
  <c r="B84" i="2"/>
  <c r="B74" i="1" s="1"/>
  <c r="B93" i="2"/>
  <c r="B83" i="1" s="1"/>
  <c r="D13" i="2"/>
  <c r="P94" i="2" s="1"/>
  <c r="K84" i="1" s="1"/>
  <c r="D11" i="2"/>
  <c r="D9" i="2"/>
  <c r="D7" i="2"/>
  <c r="D3" i="2"/>
  <c r="D4" i="2"/>
  <c r="D5" i="2"/>
  <c r="C35" i="5" l="1"/>
  <c r="C37" i="5" s="1"/>
  <c r="L18" i="5"/>
  <c r="L4" i="5"/>
  <c r="L3" i="5"/>
  <c r="L19" i="5"/>
  <c r="P57" i="2"/>
  <c r="K47" i="1" s="1"/>
  <c r="P50" i="2"/>
  <c r="K40" i="1" s="1"/>
  <c r="P58" i="2"/>
  <c r="K48" i="1" s="1"/>
  <c r="P28" i="2"/>
  <c r="K18" i="1" s="1"/>
  <c r="P27" i="2"/>
  <c r="K17" i="1" s="1"/>
  <c r="P79" i="2"/>
  <c r="K69" i="1" s="1"/>
  <c r="P74" i="2"/>
  <c r="K64" i="1" s="1"/>
  <c r="P78" i="2"/>
  <c r="K68" i="1" s="1"/>
  <c r="P90" i="2"/>
  <c r="K80" i="1" s="1"/>
  <c r="P89" i="2"/>
  <c r="K79" i="1" s="1"/>
  <c r="P91" i="2"/>
  <c r="K81" i="1" s="1"/>
  <c r="P85" i="2"/>
  <c r="K75" i="1" s="1"/>
  <c r="P87" i="2"/>
  <c r="K77" i="1" s="1"/>
  <c r="P88" i="2"/>
  <c r="K78" i="1" s="1"/>
  <c r="P39" i="2"/>
  <c r="K29" i="1" s="1"/>
  <c r="P29" i="2"/>
  <c r="K19" i="1" s="1"/>
  <c r="P38" i="2"/>
  <c r="K28" i="1" s="1"/>
  <c r="P84" i="2"/>
  <c r="K74" i="1" s="1"/>
  <c r="P83" i="2"/>
  <c r="K73" i="1" s="1"/>
  <c r="P80" i="2"/>
  <c r="K70" i="1" s="1"/>
  <c r="P49" i="2"/>
  <c r="K39" i="1" s="1"/>
  <c r="P40" i="2"/>
  <c r="K30" i="1" s="1"/>
  <c r="P48" i="2"/>
  <c r="K38" i="1" s="1"/>
  <c r="P67" i="2"/>
  <c r="K57" i="1" s="1"/>
  <c r="P72" i="2"/>
  <c r="K62" i="1" s="1"/>
  <c r="P73" i="2"/>
  <c r="K63" i="1" s="1"/>
  <c r="P65" i="2"/>
  <c r="K55" i="1" s="1"/>
  <c r="P59" i="2"/>
  <c r="K49" i="1" s="1"/>
  <c r="P66" i="2"/>
  <c r="K56" i="1" s="1"/>
  <c r="P93" i="2"/>
  <c r="K83" i="1" s="1"/>
  <c r="P92" i="2"/>
  <c r="K82" i="1" s="1"/>
  <c r="I6" i="2"/>
  <c r="AW6" i="1" s="1"/>
  <c r="C92" i="2"/>
  <c r="D92" i="2" s="1"/>
  <c r="E92" i="2" s="1"/>
  <c r="I92" i="2" s="1"/>
  <c r="E82" i="1" s="1"/>
  <c r="C67" i="2"/>
  <c r="D67" i="2" s="1"/>
  <c r="E67" i="2" s="1"/>
  <c r="B15" i="3"/>
  <c r="C15" i="3" s="1"/>
  <c r="B9" i="3"/>
  <c r="C9" i="3" s="1"/>
  <c r="B12" i="3"/>
  <c r="C12" i="3" s="1"/>
  <c r="B8" i="3"/>
  <c r="C8" i="3" s="1"/>
  <c r="B4" i="3"/>
  <c r="B11" i="3"/>
  <c r="C11" i="3" s="1"/>
  <c r="B7" i="3"/>
  <c r="C7" i="3" s="1"/>
  <c r="B14" i="3"/>
  <c r="C14" i="3" s="1"/>
  <c r="B10" i="3"/>
  <c r="C10" i="3" s="1"/>
  <c r="B6" i="3"/>
  <c r="C6" i="3" s="1"/>
  <c r="B13" i="3"/>
  <c r="C13" i="3" s="1"/>
  <c r="B5" i="3"/>
  <c r="C5" i="3" s="1"/>
  <c r="C59" i="2"/>
  <c r="D59" i="2" s="1"/>
  <c r="E59" i="2" s="1"/>
  <c r="C87" i="2"/>
  <c r="D87" i="2" s="1"/>
  <c r="E87" i="2" s="1"/>
  <c r="I87" i="2" s="1"/>
  <c r="E77" i="1" s="1"/>
  <c r="C90" i="2"/>
  <c r="D90" i="2" s="1"/>
  <c r="E90" i="2" s="1"/>
  <c r="I90" i="2" s="1"/>
  <c r="E80" i="1" s="1"/>
  <c r="C70" i="2"/>
  <c r="D70" i="2" s="1"/>
  <c r="E70" i="2" s="1"/>
  <c r="C71" i="2"/>
  <c r="D71" i="2" s="1"/>
  <c r="E71" i="2" s="1"/>
  <c r="C72" i="2"/>
  <c r="D72" i="2" s="1"/>
  <c r="E72" i="2" s="1"/>
  <c r="I72" i="2" s="1"/>
  <c r="E62" i="1" s="1"/>
  <c r="C78" i="2"/>
  <c r="D78" i="2" s="1"/>
  <c r="E78" i="2" s="1"/>
  <c r="I78" i="2" s="1"/>
  <c r="E68" i="1" s="1"/>
  <c r="C25" i="2"/>
  <c r="F25" i="2" s="1"/>
  <c r="C34" i="2"/>
  <c r="D34" i="2" s="1"/>
  <c r="E34" i="2" s="1"/>
  <c r="C74" i="2"/>
  <c r="D74" i="2" s="1"/>
  <c r="E74" i="2" s="1"/>
  <c r="C44" i="2"/>
  <c r="D44" i="2" s="1"/>
  <c r="E44" i="2" s="1"/>
  <c r="C53" i="2"/>
  <c r="F53" i="2" s="1"/>
  <c r="C81" i="2"/>
  <c r="C85" i="2"/>
  <c r="D85" i="2" s="1"/>
  <c r="E85" i="2" s="1"/>
  <c r="C48" i="2"/>
  <c r="D48" i="2" s="1"/>
  <c r="E48" i="2" s="1"/>
  <c r="I48" i="2" s="1"/>
  <c r="E38" i="1" s="1"/>
  <c r="C37" i="2"/>
  <c r="D37" i="2" s="1"/>
  <c r="E37" i="2" s="1"/>
  <c r="C38" i="2"/>
  <c r="D38" i="2" s="1"/>
  <c r="E38" i="2" s="1"/>
  <c r="I38" i="2" s="1"/>
  <c r="E28" i="1" s="1"/>
  <c r="C65" i="2"/>
  <c r="D65" i="2" s="1"/>
  <c r="E65" i="2" s="1"/>
  <c r="I65" i="2" s="1"/>
  <c r="E55" i="1" s="1"/>
  <c r="C36" i="2"/>
  <c r="D36" i="2" s="1"/>
  <c r="E36" i="2" s="1"/>
  <c r="C76" i="2"/>
  <c r="D76" i="2" s="1"/>
  <c r="E76" i="2" s="1"/>
  <c r="C63" i="2"/>
  <c r="D63" i="2" s="1"/>
  <c r="E63" i="2" s="1"/>
  <c r="C55" i="2"/>
  <c r="D55" i="2" s="1"/>
  <c r="E55" i="2" s="1"/>
  <c r="C57" i="2"/>
  <c r="D57" i="2" s="1"/>
  <c r="E57" i="2" s="1"/>
  <c r="I57" i="2" s="1"/>
  <c r="E47" i="1" s="1"/>
  <c r="C83" i="2"/>
  <c r="D83" i="2" s="1"/>
  <c r="E83" i="2" s="1"/>
  <c r="I83" i="2" s="1"/>
  <c r="E73" i="1" s="1"/>
  <c r="C27" i="2"/>
  <c r="F27" i="2" s="1"/>
  <c r="C46" i="2"/>
  <c r="D46" i="2" s="1"/>
  <c r="E46" i="2" s="1"/>
  <c r="C23" i="2"/>
  <c r="F23" i="2" s="1"/>
  <c r="C21" i="2"/>
  <c r="F21" i="2" s="1"/>
  <c r="C32" i="2"/>
  <c r="C61" i="2"/>
  <c r="D61" i="2" s="1"/>
  <c r="E61" i="2" s="1"/>
  <c r="C88" i="2"/>
  <c r="D88" i="2" s="1"/>
  <c r="E88" i="2" s="1"/>
  <c r="I88" i="2" s="1"/>
  <c r="E78" i="1" s="1"/>
  <c r="C68" i="2"/>
  <c r="D68" i="2" s="1"/>
  <c r="E68" i="2" s="1"/>
  <c r="C39" i="2"/>
  <c r="D39" i="2" s="1"/>
  <c r="E39" i="2" s="1"/>
  <c r="I39" i="2" s="1"/>
  <c r="E29" i="1" s="1"/>
  <c r="C69" i="2"/>
  <c r="D69" i="2" s="1"/>
  <c r="E69" i="2" s="1"/>
  <c r="C73" i="2"/>
  <c r="D73" i="2" s="1"/>
  <c r="E73" i="2" s="1"/>
  <c r="I73" i="2" s="1"/>
  <c r="E63" i="1" s="1"/>
  <c r="C26" i="2"/>
  <c r="D26" i="2" s="1"/>
  <c r="E26" i="2" s="1"/>
  <c r="C94" i="2"/>
  <c r="D94" i="2" s="1"/>
  <c r="E94" i="2" s="1"/>
  <c r="C51" i="2"/>
  <c r="D51" i="2" s="1"/>
  <c r="E51" i="2" s="1"/>
  <c r="C24" i="2"/>
  <c r="D24" i="2" s="1"/>
  <c r="E24" i="2" s="1"/>
  <c r="C42" i="2"/>
  <c r="C79" i="2"/>
  <c r="D79" i="2" s="1"/>
  <c r="E79" i="2" s="1"/>
  <c r="I79" i="2" s="1"/>
  <c r="E69" i="1" s="1"/>
  <c r="C35" i="2"/>
  <c r="D35" i="2" s="1"/>
  <c r="E35" i="2" s="1"/>
  <c r="C28" i="2"/>
  <c r="D28" i="2" s="1"/>
  <c r="E28" i="2" s="1"/>
  <c r="I28" i="2" s="1"/>
  <c r="E18" i="1" s="1"/>
  <c r="C43" i="2"/>
  <c r="D43" i="2" s="1"/>
  <c r="E43" i="2" s="1"/>
  <c r="C52" i="2"/>
  <c r="D52" i="2" s="1"/>
  <c r="E52" i="2" s="1"/>
  <c r="C60" i="2"/>
  <c r="D60" i="2" s="1"/>
  <c r="E60" i="2" s="1"/>
  <c r="C33" i="2"/>
  <c r="D33" i="2" s="1"/>
  <c r="E33" i="2" s="1"/>
  <c r="C91" i="2"/>
  <c r="D91" i="2" s="1"/>
  <c r="E91" i="2" s="1"/>
  <c r="I91" i="2" s="1"/>
  <c r="E81" i="1" s="1"/>
  <c r="C66" i="2"/>
  <c r="D66" i="2" s="1"/>
  <c r="E66" i="2" s="1"/>
  <c r="I66" i="2" s="1"/>
  <c r="E56" i="1" s="1"/>
  <c r="C93" i="2"/>
  <c r="D93" i="2" s="1"/>
  <c r="E93" i="2" s="1"/>
  <c r="I93" i="2" s="1"/>
  <c r="E83" i="1" s="1"/>
  <c r="C58" i="2"/>
  <c r="D58" i="2" s="1"/>
  <c r="E58" i="2" s="1"/>
  <c r="I58" i="2" s="1"/>
  <c r="E48" i="1" s="1"/>
  <c r="C84" i="2"/>
  <c r="D84" i="2" s="1"/>
  <c r="E84" i="2" s="1"/>
  <c r="I84" i="2" s="1"/>
  <c r="E74" i="1" s="1"/>
  <c r="C49" i="2"/>
  <c r="C82" i="2"/>
  <c r="D82" i="2" s="1"/>
  <c r="E82" i="2" s="1"/>
  <c r="C89" i="2"/>
  <c r="C77" i="2"/>
  <c r="D77" i="2" s="1"/>
  <c r="E77" i="2" s="1"/>
  <c r="C86" i="2"/>
  <c r="D86" i="2" s="1"/>
  <c r="E86" i="2" s="1"/>
  <c r="C56" i="2"/>
  <c r="C47" i="2"/>
  <c r="D47" i="2" s="1"/>
  <c r="E47" i="2" s="1"/>
  <c r="C64" i="2"/>
  <c r="D64" i="2" s="1"/>
  <c r="E64" i="2" s="1"/>
  <c r="C62" i="2"/>
  <c r="D62" i="2" s="1"/>
  <c r="E62" i="2" s="1"/>
  <c r="C45" i="2"/>
  <c r="D45" i="2" s="1"/>
  <c r="E45" i="2" s="1"/>
  <c r="C75" i="2"/>
  <c r="D75" i="2" s="1"/>
  <c r="E75" i="2" s="1"/>
  <c r="C80" i="2"/>
  <c r="D80" i="2" s="1"/>
  <c r="E80" i="2" s="1"/>
  <c r="C54" i="2"/>
  <c r="D54" i="2" s="1"/>
  <c r="E54" i="2" s="1"/>
  <c r="C22" i="2"/>
  <c r="F22" i="2" s="1"/>
  <c r="C50" i="2"/>
  <c r="D50" i="2" s="1"/>
  <c r="E50" i="2" s="1"/>
  <c r="C41" i="2"/>
  <c r="C40" i="2"/>
  <c r="D40" i="2" s="1"/>
  <c r="E40" i="2" s="1"/>
  <c r="C20" i="2"/>
  <c r="F20" i="2" s="1"/>
  <c r="C31" i="2"/>
  <c r="D31" i="2" s="1"/>
  <c r="E31" i="2" s="1"/>
  <c r="C29" i="2"/>
  <c r="D29" i="2" s="1"/>
  <c r="E29" i="2" s="1"/>
  <c r="C18" i="2"/>
  <c r="F18" i="2" s="1"/>
  <c r="C30" i="2"/>
  <c r="D30" i="2" s="1"/>
  <c r="E30" i="2" s="1"/>
  <c r="C19" i="2"/>
  <c r="D19" i="2" s="1"/>
  <c r="E19" i="2" s="1"/>
  <c r="C17" i="2"/>
  <c r="D36" i="5" l="1"/>
  <c r="D35" i="5"/>
  <c r="F94" i="2"/>
  <c r="I94" i="2" s="1"/>
  <c r="E84" i="1" s="1"/>
  <c r="R57" i="2"/>
  <c r="U57" i="2" s="1"/>
  <c r="R47" i="1" s="1"/>
  <c r="R58" i="2"/>
  <c r="U58" i="2" s="1"/>
  <c r="R48" i="1" s="1"/>
  <c r="R48" i="2"/>
  <c r="U48" i="2" s="1"/>
  <c r="R38" i="1" s="1"/>
  <c r="R49" i="2"/>
  <c r="U49" i="2" s="1"/>
  <c r="R39" i="1" s="1"/>
  <c r="R39" i="2"/>
  <c r="U39" i="2" s="1"/>
  <c r="R29" i="1" s="1"/>
  <c r="R38" i="2"/>
  <c r="U38" i="2" s="1"/>
  <c r="R28" i="1" s="1"/>
  <c r="R27" i="2"/>
  <c r="U27" i="2" s="1"/>
  <c r="R17" i="1" s="1"/>
  <c r="R28" i="2"/>
  <c r="U28" i="2" s="1"/>
  <c r="R18" i="1" s="1"/>
  <c r="G94" i="2"/>
  <c r="H94" i="2" s="1"/>
  <c r="H84" i="1" s="1"/>
  <c r="R40" i="2"/>
  <c r="R89" i="2"/>
  <c r="U89" i="2" s="1"/>
  <c r="R79" i="1" s="1"/>
  <c r="R85" i="2"/>
  <c r="U85" i="2" s="1"/>
  <c r="R75" i="1" s="1"/>
  <c r="R80" i="2"/>
  <c r="U80" i="2" s="1"/>
  <c r="R70" i="1" s="1"/>
  <c r="R74" i="2"/>
  <c r="R67" i="2"/>
  <c r="R59" i="2"/>
  <c r="R50" i="2"/>
  <c r="I86" i="2"/>
  <c r="E76" i="1" s="1"/>
  <c r="R29" i="2"/>
  <c r="F59" i="2"/>
  <c r="I59" i="2" s="1"/>
  <c r="E49" i="1" s="1"/>
  <c r="F92" i="2"/>
  <c r="F85" i="2"/>
  <c r="G85" i="2" s="1"/>
  <c r="H85" i="2" s="1"/>
  <c r="H75" i="1" s="1"/>
  <c r="F74" i="2"/>
  <c r="G74" i="2" s="1"/>
  <c r="H74" i="2" s="1"/>
  <c r="H64" i="1" s="1"/>
  <c r="F67" i="2"/>
  <c r="G67" i="2" s="1"/>
  <c r="H67" i="2" s="1"/>
  <c r="H57" i="1" s="1"/>
  <c r="F90" i="2"/>
  <c r="F39" i="2"/>
  <c r="F91" i="2"/>
  <c r="F38" i="2"/>
  <c r="G38" i="2" s="1"/>
  <c r="H38" i="2" s="1"/>
  <c r="H28" i="1" s="1"/>
  <c r="F87" i="2"/>
  <c r="G87" i="2" s="1"/>
  <c r="H87" i="2" s="1"/>
  <c r="H77" i="1" s="1"/>
  <c r="F93" i="2"/>
  <c r="F88" i="2"/>
  <c r="G88" i="2" s="1"/>
  <c r="H88" i="2" s="1"/>
  <c r="H78" i="1" s="1"/>
  <c r="F84" i="2"/>
  <c r="G84" i="2" s="1"/>
  <c r="H84" i="2" s="1"/>
  <c r="H74" i="1" s="1"/>
  <c r="F17" i="2"/>
  <c r="F71" i="2"/>
  <c r="G71" i="2" s="1"/>
  <c r="H71" i="2" s="1"/>
  <c r="H61" i="1" s="1"/>
  <c r="F57" i="2"/>
  <c r="G57" i="2" s="1"/>
  <c r="H57" i="2" s="1"/>
  <c r="H47" i="1" s="1"/>
  <c r="F58" i="2"/>
  <c r="G58" i="2" s="1"/>
  <c r="H58" i="2" s="1"/>
  <c r="H48" i="1" s="1"/>
  <c r="F66" i="2"/>
  <c r="F63" i="2"/>
  <c r="G63" i="2" s="1"/>
  <c r="H63" i="2" s="1"/>
  <c r="H53" i="1" s="1"/>
  <c r="F65" i="2"/>
  <c r="F79" i="2"/>
  <c r="G79" i="2" s="1"/>
  <c r="H79" i="2" s="1"/>
  <c r="H69" i="1" s="1"/>
  <c r="F73" i="2"/>
  <c r="G73" i="2" s="1"/>
  <c r="H73" i="2" s="1"/>
  <c r="H63" i="1" s="1"/>
  <c r="F28" i="2"/>
  <c r="G28" i="2" s="1"/>
  <c r="H28" i="2" s="1"/>
  <c r="H18" i="1" s="1"/>
  <c r="J94" i="2"/>
  <c r="F83" i="2"/>
  <c r="G83" i="2" s="1"/>
  <c r="H83" i="2" s="1"/>
  <c r="H73" i="1" s="1"/>
  <c r="F72" i="2"/>
  <c r="G72" i="2" s="1"/>
  <c r="H72" i="2" s="1"/>
  <c r="H62" i="1" s="1"/>
  <c r="F48" i="2"/>
  <c r="G48" i="2" s="1"/>
  <c r="H48" i="2" s="1"/>
  <c r="H38" i="1" s="1"/>
  <c r="F78" i="2"/>
  <c r="G78" i="2" s="1"/>
  <c r="H78" i="2" s="1"/>
  <c r="H68" i="1" s="1"/>
  <c r="F69" i="2"/>
  <c r="G69" i="2" s="1"/>
  <c r="H69" i="2" s="1"/>
  <c r="H59" i="1" s="1"/>
  <c r="F36" i="2"/>
  <c r="G36" i="2" s="1"/>
  <c r="H36" i="2" s="1"/>
  <c r="H26" i="1" s="1"/>
  <c r="F55" i="2"/>
  <c r="G55" i="2" s="1"/>
  <c r="H55" i="2" s="1"/>
  <c r="H45" i="1" s="1"/>
  <c r="D53" i="2"/>
  <c r="E53" i="2" s="1"/>
  <c r="I53" i="2" s="1"/>
  <c r="E43" i="1" s="1"/>
  <c r="C4" i="3"/>
  <c r="C16" i="3" s="1"/>
  <c r="B16" i="3"/>
  <c r="F70" i="2"/>
  <c r="I70" i="2" s="1"/>
  <c r="E60" i="1" s="1"/>
  <c r="F46" i="2"/>
  <c r="G46" i="2" s="1"/>
  <c r="H46" i="2" s="1"/>
  <c r="H36" i="1" s="1"/>
  <c r="F45" i="2"/>
  <c r="I45" i="2" s="1"/>
  <c r="E35" i="1" s="1"/>
  <c r="F37" i="2"/>
  <c r="G37" i="2" s="1"/>
  <c r="H37" i="2" s="1"/>
  <c r="H27" i="1" s="1"/>
  <c r="D25" i="2"/>
  <c r="E25" i="2" s="1"/>
  <c r="I25" i="2" s="1"/>
  <c r="E15" i="1" s="1"/>
  <c r="F64" i="2"/>
  <c r="G64" i="2" s="1"/>
  <c r="H64" i="2" s="1"/>
  <c r="H54" i="1" s="1"/>
  <c r="F26" i="2"/>
  <c r="I26" i="2" s="1"/>
  <c r="E16" i="1" s="1"/>
  <c r="F77" i="2"/>
  <c r="G77" i="2" s="1"/>
  <c r="H77" i="2" s="1"/>
  <c r="H67" i="1" s="1"/>
  <c r="F76" i="2"/>
  <c r="G76" i="2" s="1"/>
  <c r="H76" i="2" s="1"/>
  <c r="H66" i="1" s="1"/>
  <c r="D81" i="2"/>
  <c r="E81" i="2" s="1"/>
  <c r="I81" i="2" s="1"/>
  <c r="E71" i="1" s="1"/>
  <c r="F81" i="2"/>
  <c r="F54" i="2"/>
  <c r="I54" i="2" s="1"/>
  <c r="E44" i="1" s="1"/>
  <c r="F34" i="2"/>
  <c r="G34" i="2" s="1"/>
  <c r="H34" i="2" s="1"/>
  <c r="H24" i="1" s="1"/>
  <c r="D27" i="2"/>
  <c r="E27" i="2" s="1"/>
  <c r="I27" i="2" s="1"/>
  <c r="E17" i="1" s="1"/>
  <c r="F52" i="2"/>
  <c r="G52" i="2" s="1"/>
  <c r="H52" i="2" s="1"/>
  <c r="H42" i="1" s="1"/>
  <c r="F44" i="2"/>
  <c r="G44" i="2" s="1"/>
  <c r="H44" i="2" s="1"/>
  <c r="H34" i="1" s="1"/>
  <c r="F68" i="2"/>
  <c r="G68" i="2" s="1"/>
  <c r="H68" i="2" s="1"/>
  <c r="H58" i="1" s="1"/>
  <c r="D23" i="2"/>
  <c r="E23" i="2" s="1"/>
  <c r="I23" i="2" s="1"/>
  <c r="E13" i="1" s="1"/>
  <c r="D21" i="2"/>
  <c r="E21" i="2" s="1"/>
  <c r="I21" i="2" s="1"/>
  <c r="E11" i="1" s="1"/>
  <c r="F33" i="2"/>
  <c r="G33" i="2" s="1"/>
  <c r="H33" i="2" s="1"/>
  <c r="H23" i="1" s="1"/>
  <c r="D32" i="2"/>
  <c r="E32" i="2" s="1"/>
  <c r="F32" i="2"/>
  <c r="F19" i="2"/>
  <c r="I19" i="2" s="1"/>
  <c r="E9" i="1" s="1"/>
  <c r="F61" i="2"/>
  <c r="G61" i="2" s="1"/>
  <c r="H61" i="2" s="1"/>
  <c r="H51" i="1" s="1"/>
  <c r="F75" i="2"/>
  <c r="G75" i="2" s="1"/>
  <c r="H75" i="2" s="1"/>
  <c r="H65" i="1" s="1"/>
  <c r="F62" i="2"/>
  <c r="G62" i="2" s="1"/>
  <c r="H62" i="2" s="1"/>
  <c r="H52" i="1" s="1"/>
  <c r="F35" i="2"/>
  <c r="G35" i="2" s="1"/>
  <c r="H35" i="2" s="1"/>
  <c r="H25" i="1" s="1"/>
  <c r="F24" i="2"/>
  <c r="I24" i="2" s="1"/>
  <c r="E14" i="1" s="1"/>
  <c r="F51" i="2"/>
  <c r="G51" i="2" s="1"/>
  <c r="H51" i="2" s="1"/>
  <c r="H41" i="1" s="1"/>
  <c r="F43" i="2"/>
  <c r="G43" i="2" s="1"/>
  <c r="H43" i="2" s="1"/>
  <c r="H33" i="1" s="1"/>
  <c r="D42" i="2"/>
  <c r="E42" i="2" s="1"/>
  <c r="F42" i="2"/>
  <c r="F60" i="2"/>
  <c r="G60" i="2" s="1"/>
  <c r="H60" i="2" s="1"/>
  <c r="H50" i="1" s="1"/>
  <c r="F31" i="2"/>
  <c r="G31" i="2" s="1"/>
  <c r="H31" i="2" s="1"/>
  <c r="H21" i="1" s="1"/>
  <c r="F29" i="2"/>
  <c r="G29" i="2" s="1"/>
  <c r="H29" i="2" s="1"/>
  <c r="H19" i="1" s="1"/>
  <c r="D22" i="2"/>
  <c r="E22" i="2" s="1"/>
  <c r="I22" i="2" s="1"/>
  <c r="E12" i="1" s="1"/>
  <c r="D49" i="2"/>
  <c r="E49" i="2" s="1"/>
  <c r="I49" i="2" s="1"/>
  <c r="E39" i="1" s="1"/>
  <c r="F49" i="2"/>
  <c r="F47" i="2"/>
  <c r="G47" i="2" s="1"/>
  <c r="H47" i="2" s="1"/>
  <c r="H37" i="1" s="1"/>
  <c r="F82" i="2"/>
  <c r="G82" i="2" s="1"/>
  <c r="H82" i="2" s="1"/>
  <c r="H72" i="1" s="1"/>
  <c r="D56" i="2"/>
  <c r="E56" i="2" s="1"/>
  <c r="F56" i="2"/>
  <c r="F86" i="2"/>
  <c r="G86" i="2" s="1"/>
  <c r="H86" i="2" s="1"/>
  <c r="H76" i="1" s="1"/>
  <c r="D89" i="2"/>
  <c r="E89" i="2" s="1"/>
  <c r="F89" i="2"/>
  <c r="F80" i="2"/>
  <c r="G80" i="2" s="1"/>
  <c r="H80" i="2" s="1"/>
  <c r="H70" i="1" s="1"/>
  <c r="F50" i="2"/>
  <c r="G50" i="2" s="1"/>
  <c r="H50" i="2" s="1"/>
  <c r="H40" i="1" s="1"/>
  <c r="D41" i="2"/>
  <c r="E41" i="2" s="1"/>
  <c r="F41" i="2"/>
  <c r="F40" i="2"/>
  <c r="G40" i="2" s="1"/>
  <c r="H40" i="2" s="1"/>
  <c r="H30" i="1" s="1"/>
  <c r="D17" i="2"/>
  <c r="F30" i="2"/>
  <c r="G30" i="2" s="1"/>
  <c r="H30" i="2" s="1"/>
  <c r="H20" i="1" s="1"/>
  <c r="D18" i="2"/>
  <c r="E18" i="2" s="1"/>
  <c r="I18" i="2" s="1"/>
  <c r="E8" i="1" s="1"/>
  <c r="D20" i="2"/>
  <c r="E20" i="2" s="1"/>
  <c r="I20" i="2" s="1"/>
  <c r="E10" i="1" s="1"/>
  <c r="I80" i="2" l="1"/>
  <c r="E70" i="1" s="1"/>
  <c r="I46" i="2"/>
  <c r="E36" i="1" s="1"/>
  <c r="I36" i="2"/>
  <c r="E26" i="1" s="1"/>
  <c r="I64" i="2"/>
  <c r="E54" i="1" s="1"/>
  <c r="I47" i="2"/>
  <c r="E37" i="1" s="1"/>
  <c r="I71" i="2"/>
  <c r="E61" i="1" s="1"/>
  <c r="I56" i="2"/>
  <c r="E46" i="1" s="1"/>
  <c r="I37" i="2"/>
  <c r="E27" i="1" s="1"/>
  <c r="I89" i="2"/>
  <c r="E79" i="1" s="1"/>
  <c r="I82" i="2"/>
  <c r="E72" i="1" s="1"/>
  <c r="I77" i="2"/>
  <c r="E67" i="1" s="1"/>
  <c r="I63" i="2"/>
  <c r="E53" i="1" s="1"/>
  <c r="I85" i="2"/>
  <c r="E75" i="1" s="1"/>
  <c r="I55" i="2"/>
  <c r="E45" i="1" s="1"/>
  <c r="I76" i="2"/>
  <c r="E66" i="1" s="1"/>
  <c r="I75" i="2"/>
  <c r="E65" i="1" s="1"/>
  <c r="I62" i="2"/>
  <c r="E52" i="1" s="1"/>
  <c r="I69" i="2"/>
  <c r="E59" i="1" s="1"/>
  <c r="I35" i="2"/>
  <c r="E25" i="1" s="1"/>
  <c r="I41" i="2"/>
  <c r="E31" i="1" s="1"/>
  <c r="I60" i="2"/>
  <c r="E50" i="1" s="1"/>
  <c r="I74" i="2"/>
  <c r="E64" i="1" s="1"/>
  <c r="I61" i="2"/>
  <c r="E51" i="1" s="1"/>
  <c r="I44" i="2"/>
  <c r="E34" i="1" s="1"/>
  <c r="I34" i="2"/>
  <c r="E24" i="1" s="1"/>
  <c r="I68" i="2"/>
  <c r="E58" i="1" s="1"/>
  <c r="I67" i="2"/>
  <c r="E57" i="1" s="1"/>
  <c r="I33" i="2"/>
  <c r="E23" i="1" s="1"/>
  <c r="I52" i="2"/>
  <c r="E42" i="1" s="1"/>
  <c r="I43" i="2"/>
  <c r="E33" i="1" s="1"/>
  <c r="I42" i="2"/>
  <c r="E32" i="1" s="1"/>
  <c r="I32" i="2"/>
  <c r="E22" i="1" s="1"/>
  <c r="I51" i="2"/>
  <c r="E41" i="1" s="1"/>
  <c r="I50" i="2"/>
  <c r="E40" i="1" s="1"/>
  <c r="I31" i="2"/>
  <c r="E21" i="1" s="1"/>
  <c r="I40" i="2"/>
  <c r="E30" i="1" s="1"/>
  <c r="I30" i="2"/>
  <c r="E20" i="1" s="1"/>
  <c r="I29" i="2"/>
  <c r="E19" i="1" s="1"/>
  <c r="J85" i="2"/>
  <c r="J74" i="2"/>
  <c r="J36" i="2"/>
  <c r="J63" i="2"/>
  <c r="J87" i="2"/>
  <c r="J58" i="2"/>
  <c r="G25" i="2"/>
  <c r="H25" i="2" s="1"/>
  <c r="H15" i="1" s="1"/>
  <c r="G59" i="2"/>
  <c r="H59" i="2" s="1"/>
  <c r="H49" i="1" s="1"/>
  <c r="G92" i="2"/>
  <c r="H92" i="2" s="1"/>
  <c r="H82" i="1" s="1"/>
  <c r="J67" i="2"/>
  <c r="G93" i="2"/>
  <c r="H93" i="2" s="1"/>
  <c r="H83" i="1" s="1"/>
  <c r="G91" i="2"/>
  <c r="H91" i="2" s="1"/>
  <c r="H81" i="1" s="1"/>
  <c r="G90" i="2"/>
  <c r="H90" i="2" s="1"/>
  <c r="H80" i="1" s="1"/>
  <c r="G39" i="2"/>
  <c r="H39" i="2" s="1"/>
  <c r="H29" i="1" s="1"/>
  <c r="G66" i="2"/>
  <c r="H66" i="2" s="1"/>
  <c r="H56" i="1" s="1"/>
  <c r="G65" i="2"/>
  <c r="H65" i="2" s="1"/>
  <c r="H55" i="1" s="1"/>
  <c r="J84" i="2"/>
  <c r="E17" i="2"/>
  <c r="I17" i="2" s="1"/>
  <c r="E7" i="1" s="1"/>
  <c r="J57" i="2"/>
  <c r="K94" i="2"/>
  <c r="J88" i="2"/>
  <c r="J73" i="2"/>
  <c r="J28" i="2"/>
  <c r="J79" i="2"/>
  <c r="J48" i="2"/>
  <c r="J72" i="2"/>
  <c r="J78" i="2"/>
  <c r="J83" i="2"/>
  <c r="J38" i="2"/>
  <c r="G53" i="2"/>
  <c r="H53" i="2" s="1"/>
  <c r="H43" i="1" s="1"/>
  <c r="G45" i="2"/>
  <c r="H45" i="2" s="1"/>
  <c r="H35" i="1" s="1"/>
  <c r="G70" i="2"/>
  <c r="H70" i="2" s="1"/>
  <c r="H60" i="1" s="1"/>
  <c r="J64" i="2"/>
  <c r="J55" i="2"/>
  <c r="J76" i="2"/>
  <c r="G26" i="2"/>
  <c r="H26" i="2" s="1"/>
  <c r="H16" i="1" s="1"/>
  <c r="J46" i="2"/>
  <c r="G54" i="2"/>
  <c r="H54" i="2" s="1"/>
  <c r="H44" i="1" s="1"/>
  <c r="J37" i="2"/>
  <c r="G19" i="2"/>
  <c r="H19" i="2" s="1"/>
  <c r="H9" i="1" s="1"/>
  <c r="G24" i="2"/>
  <c r="H24" i="2" s="1"/>
  <c r="H14" i="1" s="1"/>
  <c r="J86" i="2"/>
  <c r="J47" i="2"/>
  <c r="J71" i="2"/>
  <c r="J82" i="2"/>
  <c r="J77" i="2"/>
  <c r="G81" i="2"/>
  <c r="H81" i="2" s="1"/>
  <c r="H71" i="1" s="1"/>
  <c r="J69" i="2"/>
  <c r="J35" i="2"/>
  <c r="J75" i="2"/>
  <c r="J62" i="2"/>
  <c r="J80" i="2"/>
  <c r="G20" i="2"/>
  <c r="H20" i="2" s="1"/>
  <c r="H10" i="1" s="1"/>
  <c r="J29" i="2"/>
  <c r="G21" i="2"/>
  <c r="H21" i="2" s="1"/>
  <c r="H11" i="1" s="1"/>
  <c r="G18" i="2"/>
  <c r="H18" i="2" s="1"/>
  <c r="H8" i="1" s="1"/>
  <c r="J40" i="2"/>
  <c r="J31" i="2"/>
  <c r="J30" i="2"/>
  <c r="G56" i="2"/>
  <c r="H56" i="2" s="1"/>
  <c r="H46" i="1" s="1"/>
  <c r="G49" i="2"/>
  <c r="H49" i="2" s="1"/>
  <c r="H39" i="1" s="1"/>
  <c r="J60" i="2"/>
  <c r="J51" i="2"/>
  <c r="J68" i="2"/>
  <c r="J44" i="2"/>
  <c r="J52" i="2"/>
  <c r="J34" i="2"/>
  <c r="J61" i="2"/>
  <c r="J33" i="2"/>
  <c r="G22" i="2"/>
  <c r="H22" i="2" s="1"/>
  <c r="H12" i="1" s="1"/>
  <c r="J50" i="2"/>
  <c r="J43" i="2"/>
  <c r="G23" i="2"/>
  <c r="H23" i="2" s="1"/>
  <c r="H13" i="1" s="1"/>
  <c r="G27" i="2"/>
  <c r="H27" i="2" s="1"/>
  <c r="H17" i="1" s="1"/>
  <c r="G32" i="2"/>
  <c r="H32" i="2" s="1"/>
  <c r="H22" i="1" s="1"/>
  <c r="G42" i="2"/>
  <c r="H42" i="2" s="1"/>
  <c r="H32" i="1" s="1"/>
  <c r="G89" i="2"/>
  <c r="H89" i="2" s="1"/>
  <c r="H79" i="1" s="1"/>
  <c r="G41" i="2"/>
  <c r="H41" i="2" s="1"/>
  <c r="H31" i="1" s="1"/>
  <c r="K84" i="2" l="1"/>
  <c r="M84" i="2" s="1"/>
  <c r="N84" i="2" s="1"/>
  <c r="K85" i="2"/>
  <c r="L85" i="2" s="1"/>
  <c r="K87" i="2"/>
  <c r="M87" i="2" s="1"/>
  <c r="N87" i="2" s="1"/>
  <c r="K74" i="2"/>
  <c r="M74" i="2" s="1"/>
  <c r="N74" i="2" s="1"/>
  <c r="K76" i="2"/>
  <c r="L76" i="2" s="1"/>
  <c r="K78" i="2"/>
  <c r="M78" i="2" s="1"/>
  <c r="N78" i="2" s="1"/>
  <c r="K68" i="2"/>
  <c r="L68" i="2" s="1"/>
  <c r="K67" i="2"/>
  <c r="M67" i="2" s="1"/>
  <c r="N67" i="2" s="1"/>
  <c r="K64" i="2"/>
  <c r="M64" i="2" s="1"/>
  <c r="N64" i="2" s="1"/>
  <c r="K63" i="2"/>
  <c r="L63" i="2" s="1"/>
  <c r="K60" i="2"/>
  <c r="L60" i="2" s="1"/>
  <c r="K61" i="2"/>
  <c r="L61" i="2" s="1"/>
  <c r="K50" i="2"/>
  <c r="L50" i="2" s="1"/>
  <c r="K51" i="2"/>
  <c r="M51" i="2" s="1"/>
  <c r="N51" i="2" s="1"/>
  <c r="K57" i="2"/>
  <c r="L57" i="2" s="1"/>
  <c r="K58" i="2"/>
  <c r="L58" i="2" s="1"/>
  <c r="K52" i="2"/>
  <c r="M52" i="2" s="1"/>
  <c r="N52" i="2" s="1"/>
  <c r="K55" i="2"/>
  <c r="M55" i="2" s="1"/>
  <c r="N55" i="2" s="1"/>
  <c r="K40" i="2"/>
  <c r="M40" i="2" s="1"/>
  <c r="N40" i="2" s="1"/>
  <c r="K48" i="2"/>
  <c r="M48" i="2" s="1"/>
  <c r="N48" i="2" s="1"/>
  <c r="K43" i="2"/>
  <c r="M43" i="2" s="1"/>
  <c r="N43" i="2" s="1"/>
  <c r="K46" i="2"/>
  <c r="M46" i="2" s="1"/>
  <c r="N46" i="2" s="1"/>
  <c r="K44" i="2"/>
  <c r="M44" i="2" s="1"/>
  <c r="N44" i="2" s="1"/>
  <c r="K36" i="2"/>
  <c r="M36" i="2" s="1"/>
  <c r="N36" i="2" s="1"/>
  <c r="K33" i="2"/>
  <c r="M33" i="2" s="1"/>
  <c r="N33" i="2" s="1"/>
  <c r="K34" i="2"/>
  <c r="L34" i="2" s="1"/>
  <c r="K30" i="2"/>
  <c r="M30" i="2" s="1"/>
  <c r="N30" i="2" s="1"/>
  <c r="K37" i="2"/>
  <c r="L37" i="2" s="1"/>
  <c r="K29" i="2"/>
  <c r="M29" i="2" s="1"/>
  <c r="N29" i="2" s="1"/>
  <c r="K31" i="2"/>
  <c r="L31" i="2" s="1"/>
  <c r="J59" i="2"/>
  <c r="J92" i="2"/>
  <c r="J93" i="2"/>
  <c r="J25" i="2"/>
  <c r="J24" i="2"/>
  <c r="J54" i="2"/>
  <c r="J26" i="2"/>
  <c r="J90" i="2"/>
  <c r="J91" i="2"/>
  <c r="J66" i="2"/>
  <c r="J39" i="2"/>
  <c r="J65" i="2"/>
  <c r="J45" i="2"/>
  <c r="G17" i="2"/>
  <c r="H17" i="2" s="1"/>
  <c r="H7" i="1" s="1"/>
  <c r="K72" i="2"/>
  <c r="J53" i="2"/>
  <c r="K88" i="2"/>
  <c r="J49" i="2"/>
  <c r="K28" i="2"/>
  <c r="K79" i="2"/>
  <c r="K73" i="2"/>
  <c r="M94" i="2"/>
  <c r="N94" i="2" s="1"/>
  <c r="L94" i="2"/>
  <c r="K38" i="2"/>
  <c r="K83" i="2"/>
  <c r="J27" i="2"/>
  <c r="J70" i="2"/>
  <c r="J19" i="2"/>
  <c r="J89" i="2"/>
  <c r="K77" i="2"/>
  <c r="K82" i="2"/>
  <c r="K71" i="2"/>
  <c r="K47" i="2"/>
  <c r="K86" i="2"/>
  <c r="J56" i="2"/>
  <c r="J81" i="2"/>
  <c r="K62" i="2"/>
  <c r="K35" i="2"/>
  <c r="K80" i="2"/>
  <c r="K75" i="2"/>
  <c r="K69" i="2"/>
  <c r="J41" i="2"/>
  <c r="J42" i="2"/>
  <c r="J32" i="2"/>
  <c r="J18" i="2"/>
  <c r="J23" i="2"/>
  <c r="J22" i="2"/>
  <c r="J21" i="2"/>
  <c r="J20" i="2"/>
  <c r="M85" i="2" l="1"/>
  <c r="N85" i="2" s="1"/>
  <c r="L84" i="2"/>
  <c r="L78" i="2"/>
  <c r="L67" i="2"/>
  <c r="O67" i="2" s="1"/>
  <c r="L51" i="2"/>
  <c r="L87" i="2"/>
  <c r="M76" i="2"/>
  <c r="N76" i="2" s="1"/>
  <c r="O76" i="2" s="1"/>
  <c r="P76" i="2" s="1"/>
  <c r="K66" i="1" s="1"/>
  <c r="M68" i="2"/>
  <c r="N68" i="2" s="1"/>
  <c r="O68" i="2" s="1"/>
  <c r="P68" i="2" s="1"/>
  <c r="K58" i="1" s="1"/>
  <c r="L40" i="2"/>
  <c r="O40" i="2" s="1"/>
  <c r="M50" i="2"/>
  <c r="N50" i="2" s="1"/>
  <c r="O50" i="2" s="1"/>
  <c r="K91" i="2"/>
  <c r="M91" i="2" s="1"/>
  <c r="N91" i="2" s="1"/>
  <c r="K92" i="2"/>
  <c r="M92" i="2" s="1"/>
  <c r="N92" i="2" s="1"/>
  <c r="K93" i="2"/>
  <c r="L93" i="2" s="1"/>
  <c r="K90" i="2"/>
  <c r="L90" i="2" s="1"/>
  <c r="L29" i="2"/>
  <c r="O29" i="2" s="1"/>
  <c r="L74" i="2"/>
  <c r="O74" i="2" s="1"/>
  <c r="L64" i="2"/>
  <c r="O64" i="2" s="1"/>
  <c r="P64" i="2" s="1"/>
  <c r="K54" i="1" s="1"/>
  <c r="M63" i="2"/>
  <c r="N63" i="2" s="1"/>
  <c r="O63" i="2" s="1"/>
  <c r="P63" i="2" s="1"/>
  <c r="K53" i="1" s="1"/>
  <c r="L55" i="2"/>
  <c r="K70" i="2"/>
  <c r="M70" i="2" s="1"/>
  <c r="N70" i="2" s="1"/>
  <c r="M60" i="2"/>
  <c r="N60" i="2" s="1"/>
  <c r="O60" i="2" s="1"/>
  <c r="P60" i="2" s="1"/>
  <c r="K50" i="1" s="1"/>
  <c r="L52" i="2"/>
  <c r="O52" i="2" s="1"/>
  <c r="P52" i="2" s="1"/>
  <c r="K42" i="1" s="1"/>
  <c r="K66" i="2"/>
  <c r="L66" i="2" s="1"/>
  <c r="L33" i="2"/>
  <c r="O33" i="2" s="1"/>
  <c r="P33" i="2" s="1"/>
  <c r="K23" i="1" s="1"/>
  <c r="M61" i="2"/>
  <c r="N61" i="2" s="1"/>
  <c r="O61" i="2" s="1"/>
  <c r="P61" i="2" s="1"/>
  <c r="K51" i="1" s="1"/>
  <c r="K59" i="2"/>
  <c r="M59" i="2" s="1"/>
  <c r="N59" i="2" s="1"/>
  <c r="M57" i="2"/>
  <c r="N57" i="2" s="1"/>
  <c r="K65" i="2"/>
  <c r="L65" i="2" s="1"/>
  <c r="M37" i="2"/>
  <c r="N37" i="2" s="1"/>
  <c r="K54" i="2"/>
  <c r="M54" i="2" s="1"/>
  <c r="N54" i="2" s="1"/>
  <c r="L36" i="2"/>
  <c r="O36" i="2" s="1"/>
  <c r="P36" i="2" s="1"/>
  <c r="K26" i="1" s="1"/>
  <c r="L48" i="2"/>
  <c r="M58" i="2"/>
  <c r="N58" i="2" s="1"/>
  <c r="K53" i="2"/>
  <c r="M53" i="2" s="1"/>
  <c r="N53" i="2" s="1"/>
  <c r="L44" i="2"/>
  <c r="O44" i="2" s="1"/>
  <c r="P44" i="2" s="1"/>
  <c r="K34" i="1" s="1"/>
  <c r="L43" i="2"/>
  <c r="O43" i="2" s="1"/>
  <c r="P43" i="2" s="1"/>
  <c r="K33" i="1" s="1"/>
  <c r="L46" i="2"/>
  <c r="K42" i="2"/>
  <c r="M42" i="2" s="1"/>
  <c r="N42" i="2" s="1"/>
  <c r="K41" i="2"/>
  <c r="M41" i="2" s="1"/>
  <c r="N41" i="2" s="1"/>
  <c r="K45" i="2"/>
  <c r="M45" i="2" s="1"/>
  <c r="N45" i="2" s="1"/>
  <c r="L30" i="2"/>
  <c r="O30" i="2" s="1"/>
  <c r="P30" i="2" s="1"/>
  <c r="K20" i="1" s="1"/>
  <c r="K39" i="2"/>
  <c r="L39" i="2" s="1"/>
  <c r="K32" i="2"/>
  <c r="L32" i="2" s="1"/>
  <c r="M34" i="2"/>
  <c r="N34" i="2" s="1"/>
  <c r="O34" i="2" s="1"/>
  <c r="P34" i="2" s="1"/>
  <c r="K24" i="1" s="1"/>
  <c r="M31" i="2"/>
  <c r="N31" i="2" s="1"/>
  <c r="O31" i="2" s="1"/>
  <c r="P31" i="2" s="1"/>
  <c r="K21" i="1" s="1"/>
  <c r="K18" i="2"/>
  <c r="M18" i="2" s="1"/>
  <c r="N18" i="2" s="1"/>
  <c r="K25" i="2"/>
  <c r="M25" i="2" s="1"/>
  <c r="N25" i="2" s="1"/>
  <c r="K22" i="2"/>
  <c r="L22" i="2" s="1"/>
  <c r="K24" i="2"/>
  <c r="M24" i="2" s="1"/>
  <c r="N24" i="2" s="1"/>
  <c r="K19" i="2"/>
  <c r="L19" i="2" s="1"/>
  <c r="K20" i="2"/>
  <c r="M20" i="2" s="1"/>
  <c r="N20" i="2" s="1"/>
  <c r="K26" i="2"/>
  <c r="M26" i="2" s="1"/>
  <c r="N26" i="2" s="1"/>
  <c r="K21" i="2"/>
  <c r="M21" i="2" s="1"/>
  <c r="N21" i="2" s="1"/>
  <c r="K23" i="2"/>
  <c r="L23" i="2" s="1"/>
  <c r="O78" i="2"/>
  <c r="O66" i="2"/>
  <c r="O57" i="2"/>
  <c r="O48" i="2"/>
  <c r="J17" i="2"/>
  <c r="O84" i="2"/>
  <c r="O58" i="2"/>
  <c r="M72" i="2"/>
  <c r="N72" i="2" s="1"/>
  <c r="L72" i="2"/>
  <c r="O94" i="2"/>
  <c r="M73" i="2"/>
  <c r="N73" i="2" s="1"/>
  <c r="L73" i="2"/>
  <c r="L79" i="2"/>
  <c r="M79" i="2"/>
  <c r="N79" i="2" s="1"/>
  <c r="M28" i="2"/>
  <c r="N28" i="2" s="1"/>
  <c r="L28" i="2"/>
  <c r="K49" i="2"/>
  <c r="M88" i="2"/>
  <c r="N88" i="2" s="1"/>
  <c r="L88" i="2"/>
  <c r="O87" i="2"/>
  <c r="O92" i="2"/>
  <c r="K27" i="2"/>
  <c r="L83" i="2"/>
  <c r="M83" i="2"/>
  <c r="N83" i="2" s="1"/>
  <c r="L38" i="2"/>
  <c r="M38" i="2"/>
  <c r="N38" i="2" s="1"/>
  <c r="O37" i="2"/>
  <c r="P37" i="2" s="1"/>
  <c r="K27" i="1" s="1"/>
  <c r="L77" i="2"/>
  <c r="M77" i="2"/>
  <c r="N77" i="2" s="1"/>
  <c r="L86" i="2"/>
  <c r="M86" i="2"/>
  <c r="N86" i="2" s="1"/>
  <c r="L71" i="2"/>
  <c r="M71" i="2"/>
  <c r="N71" i="2" s="1"/>
  <c r="L47" i="2"/>
  <c r="M47" i="2"/>
  <c r="N47" i="2" s="1"/>
  <c r="M82" i="2"/>
  <c r="N82" i="2" s="1"/>
  <c r="L82" i="2"/>
  <c r="K89" i="2"/>
  <c r="K56" i="2"/>
  <c r="O85" i="2"/>
  <c r="O46" i="2"/>
  <c r="P46" i="2" s="1"/>
  <c r="K36" i="1" s="1"/>
  <c r="K81" i="2"/>
  <c r="O55" i="2"/>
  <c r="P55" i="2" s="1"/>
  <c r="K45" i="1" s="1"/>
  <c r="M35" i="2"/>
  <c r="N35" i="2" s="1"/>
  <c r="L35" i="2"/>
  <c r="L75" i="2"/>
  <c r="M75" i="2"/>
  <c r="N75" i="2" s="1"/>
  <c r="M80" i="2"/>
  <c r="N80" i="2" s="1"/>
  <c r="L80" i="2"/>
  <c r="L69" i="2"/>
  <c r="M69" i="2"/>
  <c r="N69" i="2" s="1"/>
  <c r="L62" i="2"/>
  <c r="M62" i="2"/>
  <c r="N62" i="2" s="1"/>
  <c r="O51" i="2"/>
  <c r="P51" i="2" s="1"/>
  <c r="K41" i="1" s="1"/>
  <c r="L92" i="2" l="1"/>
  <c r="R76" i="2"/>
  <c r="U76" i="2" s="1"/>
  <c r="R66" i="1" s="1"/>
  <c r="R68" i="2"/>
  <c r="R63" i="2"/>
  <c r="U63" i="2" s="1"/>
  <c r="R53" i="1" s="1"/>
  <c r="R61" i="2"/>
  <c r="R64" i="2"/>
  <c r="R60" i="2"/>
  <c r="R51" i="2"/>
  <c r="R52" i="2"/>
  <c r="R46" i="2"/>
  <c r="R55" i="2"/>
  <c r="U55" i="2" s="1"/>
  <c r="R45" i="1" s="1"/>
  <c r="R43" i="2"/>
  <c r="R44" i="2"/>
  <c r="R37" i="2"/>
  <c r="R33" i="2"/>
  <c r="R36" i="2"/>
  <c r="R31" i="2"/>
  <c r="R34" i="2"/>
  <c r="R30" i="2"/>
  <c r="U74" i="2"/>
  <c r="R64" i="1" s="1"/>
  <c r="L41" i="2"/>
  <c r="L20" i="2"/>
  <c r="O20" i="2" s="1"/>
  <c r="P20" i="2" s="1"/>
  <c r="K10" i="1" s="1"/>
  <c r="L91" i="2"/>
  <c r="O91" i="2" s="1"/>
  <c r="M90" i="2"/>
  <c r="N90" i="2" s="1"/>
  <c r="O90" i="2" s="1"/>
  <c r="M93" i="2"/>
  <c r="N93" i="2" s="1"/>
  <c r="O93" i="2" s="1"/>
  <c r="L70" i="2"/>
  <c r="O70" i="2" s="1"/>
  <c r="P70" i="2" s="1"/>
  <c r="K60" i="1" s="1"/>
  <c r="L54" i="2"/>
  <c r="M65" i="2"/>
  <c r="N65" i="2" s="1"/>
  <c r="O65" i="2" s="1"/>
  <c r="M66" i="2"/>
  <c r="N66" i="2" s="1"/>
  <c r="L42" i="2"/>
  <c r="O42" i="2" s="1"/>
  <c r="P42" i="2" s="1"/>
  <c r="K32" i="1" s="1"/>
  <c r="M39" i="2"/>
  <c r="N39" i="2" s="1"/>
  <c r="O39" i="2" s="1"/>
  <c r="L59" i="2"/>
  <c r="O59" i="2" s="1"/>
  <c r="L25" i="2"/>
  <c r="O25" i="2" s="1"/>
  <c r="P25" i="2" s="1"/>
  <c r="K15" i="1" s="1"/>
  <c r="L53" i="2"/>
  <c r="O53" i="2" s="1"/>
  <c r="P53" i="2" s="1"/>
  <c r="K43" i="1" s="1"/>
  <c r="L45" i="2"/>
  <c r="M32" i="2"/>
  <c r="N32" i="2" s="1"/>
  <c r="O32" i="2" s="1"/>
  <c r="P32" i="2" s="1"/>
  <c r="K22" i="1" s="1"/>
  <c r="M23" i="2"/>
  <c r="N23" i="2" s="1"/>
  <c r="O23" i="2" s="1"/>
  <c r="P23" i="2" s="1"/>
  <c r="K13" i="1" s="1"/>
  <c r="L18" i="2"/>
  <c r="O18" i="2" s="1"/>
  <c r="P18" i="2" s="1"/>
  <c r="K8" i="1" s="1"/>
  <c r="M19" i="2"/>
  <c r="N19" i="2" s="1"/>
  <c r="O19" i="2" s="1"/>
  <c r="P19" i="2" s="1"/>
  <c r="K9" i="1" s="1"/>
  <c r="L24" i="2"/>
  <c r="O24" i="2" s="1"/>
  <c r="P24" i="2" s="1"/>
  <c r="K14" i="1" s="1"/>
  <c r="K17" i="2"/>
  <c r="L17" i="2" s="1"/>
  <c r="L21" i="2"/>
  <c r="O21" i="2" s="1"/>
  <c r="P21" i="2" s="1"/>
  <c r="K11" i="1" s="1"/>
  <c r="L26" i="2"/>
  <c r="M22" i="2"/>
  <c r="N22" i="2" s="1"/>
  <c r="O22" i="2" s="1"/>
  <c r="P22" i="2" s="1"/>
  <c r="K12" i="1" s="1"/>
  <c r="S67" i="2"/>
  <c r="S78" i="2"/>
  <c r="O83" i="2"/>
  <c r="O79" i="2"/>
  <c r="O38" i="2"/>
  <c r="O73" i="2"/>
  <c r="O28" i="2"/>
  <c r="O72" i="2"/>
  <c r="O88" i="2"/>
  <c r="L49" i="2"/>
  <c r="M49" i="2"/>
  <c r="N49" i="2" s="1"/>
  <c r="M27" i="2"/>
  <c r="N27" i="2" s="1"/>
  <c r="L27" i="2"/>
  <c r="O47" i="2"/>
  <c r="P47" i="2" s="1"/>
  <c r="K37" i="1" s="1"/>
  <c r="O82" i="2"/>
  <c r="P82" i="2" s="1"/>
  <c r="K72" i="1" s="1"/>
  <c r="O77" i="2"/>
  <c r="P77" i="2" s="1"/>
  <c r="K67" i="1" s="1"/>
  <c r="O86" i="2"/>
  <c r="P86" i="2" s="1"/>
  <c r="K76" i="1" s="1"/>
  <c r="O26" i="2"/>
  <c r="P26" i="2" s="1"/>
  <c r="K16" i="1" s="1"/>
  <c r="O71" i="2"/>
  <c r="P71" i="2" s="1"/>
  <c r="K61" i="1" s="1"/>
  <c r="L89" i="2"/>
  <c r="M89" i="2"/>
  <c r="N89" i="2" s="1"/>
  <c r="M56" i="2"/>
  <c r="N56" i="2" s="1"/>
  <c r="L56" i="2"/>
  <c r="M81" i="2"/>
  <c r="N81" i="2" s="1"/>
  <c r="L81" i="2"/>
  <c r="O69" i="2"/>
  <c r="P69" i="2" s="1"/>
  <c r="K59" i="1" s="1"/>
  <c r="O45" i="2"/>
  <c r="P45" i="2" s="1"/>
  <c r="K35" i="1" s="1"/>
  <c r="O75" i="2"/>
  <c r="P75" i="2" s="1"/>
  <c r="K65" i="1" s="1"/>
  <c r="O62" i="2"/>
  <c r="P62" i="2" s="1"/>
  <c r="K52" i="1" s="1"/>
  <c r="O54" i="2"/>
  <c r="P54" i="2" s="1"/>
  <c r="K44" i="1" s="1"/>
  <c r="O35" i="2"/>
  <c r="P35" i="2" s="1"/>
  <c r="K25" i="1" s="1"/>
  <c r="O80" i="2"/>
  <c r="O41" i="2"/>
  <c r="P41" i="2" s="1"/>
  <c r="K31" i="1" s="1"/>
  <c r="R86" i="2" l="1"/>
  <c r="U86" i="2" s="1"/>
  <c r="R76" i="1" s="1"/>
  <c r="R82" i="2"/>
  <c r="U82" i="2" s="1"/>
  <c r="R72" i="1" s="1"/>
  <c r="R77" i="2"/>
  <c r="U77" i="2" s="1"/>
  <c r="R67" i="1" s="1"/>
  <c r="R75" i="2"/>
  <c r="U75" i="2" s="1"/>
  <c r="R65" i="1" s="1"/>
  <c r="R71" i="2"/>
  <c r="U71" i="2" s="1"/>
  <c r="R61" i="1" s="1"/>
  <c r="R69" i="2"/>
  <c r="U69" i="2" s="1"/>
  <c r="R59" i="1" s="1"/>
  <c r="R70" i="2"/>
  <c r="U70" i="2" s="1"/>
  <c r="R60" i="1" s="1"/>
  <c r="R62" i="2"/>
  <c r="U62" i="2" s="1"/>
  <c r="R52" i="1" s="1"/>
  <c r="R53" i="2"/>
  <c r="R41" i="2"/>
  <c r="R54" i="2"/>
  <c r="U54" i="2" s="1"/>
  <c r="R44" i="1" s="1"/>
  <c r="R47" i="2"/>
  <c r="R42" i="2"/>
  <c r="R45" i="2"/>
  <c r="R35" i="2"/>
  <c r="R32" i="2"/>
  <c r="R25" i="2"/>
  <c r="R21" i="2"/>
  <c r="R26" i="2"/>
  <c r="R23" i="2"/>
  <c r="R24" i="2"/>
  <c r="R22" i="2"/>
  <c r="R19" i="2"/>
  <c r="R20" i="2"/>
  <c r="R18" i="2"/>
  <c r="U67" i="2"/>
  <c r="R57" i="1" s="1"/>
  <c r="T67" i="2"/>
  <c r="U61" i="2"/>
  <c r="R51" i="1" s="1"/>
  <c r="S52" i="2"/>
  <c r="S33" i="2"/>
  <c r="T31" i="2"/>
  <c r="S29" i="2"/>
  <c r="M17" i="2"/>
  <c r="T74" i="2"/>
  <c r="S74" i="2"/>
  <c r="T59" i="2"/>
  <c r="T92" i="2"/>
  <c r="T76" i="2"/>
  <c r="T93" i="2"/>
  <c r="T85" i="2"/>
  <c r="T78" i="2"/>
  <c r="T84" i="2"/>
  <c r="T87" i="2"/>
  <c r="T91" i="2"/>
  <c r="T90" i="2"/>
  <c r="T94" i="2"/>
  <c r="T65" i="2"/>
  <c r="T63" i="2"/>
  <c r="T64" i="2"/>
  <c r="T66" i="2"/>
  <c r="T55" i="2"/>
  <c r="T57" i="2"/>
  <c r="T58" i="2"/>
  <c r="T48" i="2"/>
  <c r="T46" i="2"/>
  <c r="T37" i="2"/>
  <c r="T36" i="2"/>
  <c r="T39" i="2"/>
  <c r="S90" i="2"/>
  <c r="S92" i="2"/>
  <c r="S94" i="2"/>
  <c r="S93" i="2"/>
  <c r="S91" i="2"/>
  <c r="S85" i="2"/>
  <c r="S87" i="2"/>
  <c r="S84" i="2"/>
  <c r="S76" i="2"/>
  <c r="S64" i="2"/>
  <c r="S66" i="2"/>
  <c r="S65" i="2"/>
  <c r="S63" i="2"/>
  <c r="S55" i="2"/>
  <c r="S57" i="2"/>
  <c r="S46" i="2"/>
  <c r="S50" i="2"/>
  <c r="S58" i="2"/>
  <c r="S48" i="2"/>
  <c r="S36" i="2"/>
  <c r="S39" i="2"/>
  <c r="S37" i="2"/>
  <c r="O49" i="2"/>
  <c r="O27" i="2"/>
  <c r="O56" i="2"/>
  <c r="P56" i="2" s="1"/>
  <c r="K46" i="1" s="1"/>
  <c r="O89" i="2"/>
  <c r="O81" i="2"/>
  <c r="P81" i="2" s="1"/>
  <c r="K71" i="1" s="1"/>
  <c r="U59" i="2" l="1"/>
  <c r="R49" i="1" s="1"/>
  <c r="R81" i="2"/>
  <c r="U81" i="2" s="1"/>
  <c r="R71" i="1" s="1"/>
  <c r="R56" i="2"/>
  <c r="U56" i="2" s="1"/>
  <c r="R46" i="1" s="1"/>
  <c r="U37" i="2"/>
  <c r="R27" i="1" s="1"/>
  <c r="U64" i="2"/>
  <c r="R54" i="1" s="1"/>
  <c r="U46" i="2"/>
  <c r="R36" i="1" s="1"/>
  <c r="U36" i="2"/>
  <c r="R26" i="1" s="1"/>
  <c r="N17" i="2"/>
  <c r="O17" i="2" s="1"/>
  <c r="P17" i="2" s="1"/>
  <c r="K7" i="1" s="1"/>
  <c r="T50" i="2"/>
  <c r="U50" i="2" s="1"/>
  <c r="R40" i="1" s="1"/>
  <c r="S61" i="2"/>
  <c r="S60" i="2"/>
  <c r="T60" i="2"/>
  <c r="U68" i="2"/>
  <c r="R58" i="1" s="1"/>
  <c r="T68" i="2"/>
  <c r="S68" i="2"/>
  <c r="T61" i="2"/>
  <c r="S51" i="2"/>
  <c r="U52" i="2"/>
  <c r="R42" i="1" s="1"/>
  <c r="T52" i="2"/>
  <c r="T51" i="2"/>
  <c r="S44" i="2"/>
  <c r="T44" i="2"/>
  <c r="S43" i="2"/>
  <c r="T43" i="2"/>
  <c r="U43" i="2" s="1"/>
  <c r="R33" i="1" s="1"/>
  <c r="T40" i="2"/>
  <c r="U40" i="2" s="1"/>
  <c r="R30" i="1" s="1"/>
  <c r="S40" i="2"/>
  <c r="T21" i="2"/>
  <c r="S22" i="2"/>
  <c r="U34" i="2"/>
  <c r="R24" i="1" s="1"/>
  <c r="S34" i="2"/>
  <c r="T34" i="2"/>
  <c r="T30" i="2"/>
  <c r="U30" i="2" s="1"/>
  <c r="R20" i="1" s="1"/>
  <c r="S30" i="2"/>
  <c r="T29" i="2"/>
  <c r="U29" i="2" s="1"/>
  <c r="R19" i="1" s="1"/>
  <c r="U31" i="2"/>
  <c r="R21" i="1" s="1"/>
  <c r="S31" i="2"/>
  <c r="T33" i="2"/>
  <c r="U33" i="2" s="1"/>
  <c r="R23" i="1" s="1"/>
  <c r="S59" i="2"/>
  <c r="T80" i="2"/>
  <c r="T86" i="2"/>
  <c r="T88" i="2"/>
  <c r="T82" i="2"/>
  <c r="T75" i="2"/>
  <c r="T83" i="2"/>
  <c r="T77" i="2"/>
  <c r="T79" i="2"/>
  <c r="T72" i="2"/>
  <c r="T70" i="2"/>
  <c r="T69" i="2"/>
  <c r="T73" i="2"/>
  <c r="T71" i="2"/>
  <c r="T62" i="2"/>
  <c r="T54" i="2"/>
  <c r="T47" i="2"/>
  <c r="T45" i="2"/>
  <c r="T35" i="2"/>
  <c r="T38" i="2"/>
  <c r="T28" i="2"/>
  <c r="T25" i="2"/>
  <c r="U25" i="2" s="1"/>
  <c r="R15" i="1" s="1"/>
  <c r="T24" i="2"/>
  <c r="U24" i="2" s="1"/>
  <c r="R14" i="1" s="1"/>
  <c r="T26" i="2"/>
  <c r="S88" i="2"/>
  <c r="S86" i="2"/>
  <c r="S82" i="2"/>
  <c r="S80" i="2"/>
  <c r="S83" i="2"/>
  <c r="S77" i="2"/>
  <c r="S75" i="2"/>
  <c r="S79" i="2"/>
  <c r="S69" i="2"/>
  <c r="S72" i="2"/>
  <c r="S73" i="2"/>
  <c r="S71" i="2"/>
  <c r="S70" i="2"/>
  <c r="S62" i="2"/>
  <c r="S45" i="2"/>
  <c r="S47" i="2"/>
  <c r="S54" i="2"/>
  <c r="S26" i="2"/>
  <c r="S35" i="2"/>
  <c r="S28" i="2"/>
  <c r="S38" i="2"/>
  <c r="S25" i="2"/>
  <c r="S24" i="2"/>
  <c r="U51" i="2" l="1"/>
  <c r="R41" i="1" s="1"/>
  <c r="U44" i="2"/>
  <c r="R34" i="1" s="1"/>
  <c r="U47" i="2"/>
  <c r="R37" i="1" s="1"/>
  <c r="U26" i="2"/>
  <c r="R16" i="1" s="1"/>
  <c r="U35" i="2"/>
  <c r="R25" i="1" s="1"/>
  <c r="U45" i="2"/>
  <c r="R35" i="1" s="1"/>
  <c r="U60" i="2"/>
  <c r="R50" i="1" s="1"/>
  <c r="R17" i="2"/>
  <c r="U53" i="2"/>
  <c r="R43" i="1" s="1"/>
  <c r="T53" i="2"/>
  <c r="S53" i="2"/>
  <c r="S41" i="2"/>
  <c r="T41" i="2"/>
  <c r="U41" i="2" s="1"/>
  <c r="R31" i="1" s="1"/>
  <c r="S42" i="2"/>
  <c r="T42" i="2"/>
  <c r="U42" i="2" s="1"/>
  <c r="R32" i="1" s="1"/>
  <c r="T19" i="2"/>
  <c r="U19" i="2" s="1"/>
  <c r="R9" i="1" s="1"/>
  <c r="S19" i="2"/>
  <c r="S32" i="2"/>
  <c r="T22" i="2"/>
  <c r="U22" i="2" s="1"/>
  <c r="R12" i="1" s="1"/>
  <c r="T18" i="2"/>
  <c r="U18" i="2" s="1"/>
  <c r="R8" i="1" s="1"/>
  <c r="S18" i="2"/>
  <c r="T32" i="2"/>
  <c r="U32" i="2" s="1"/>
  <c r="R22" i="1" s="1"/>
  <c r="U20" i="2"/>
  <c r="R10" i="1" s="1"/>
  <c r="S20" i="2"/>
  <c r="T20" i="2"/>
  <c r="S23" i="2"/>
  <c r="T23" i="2"/>
  <c r="U23" i="2" s="1"/>
  <c r="R13" i="1" s="1"/>
  <c r="U21" i="2"/>
  <c r="R11" i="1" s="1"/>
  <c r="S21" i="2"/>
  <c r="T81" i="2"/>
  <c r="T89" i="2"/>
  <c r="T56" i="2"/>
  <c r="T49" i="2"/>
  <c r="T27" i="2"/>
  <c r="S89" i="2"/>
  <c r="S81" i="2"/>
  <c r="S49" i="2"/>
  <c r="S56" i="2"/>
  <c r="S27" i="2"/>
  <c r="S17" i="2" l="1"/>
  <c r="T17" i="2" l="1"/>
  <c r="S95" i="2"/>
  <c r="AB7" i="1" s="1"/>
  <c r="U17" i="2" l="1"/>
  <c r="R7" i="1" s="1"/>
</calcChain>
</file>

<file path=xl/sharedStrings.xml><?xml version="1.0" encoding="utf-8"?>
<sst xmlns="http://schemas.openxmlformats.org/spreadsheetml/2006/main" count="342" uniqueCount="197">
  <si>
    <t>Ft.</t>
  </si>
  <si>
    <t>In.</t>
  </si>
  <si>
    <t>Combined Spacings
(In Feet)</t>
  </si>
  <si>
    <t>Combined Spacings 
(In Inches)</t>
  </si>
  <si>
    <t>Spacing
(In Feet)</t>
  </si>
  <si>
    <t>Spacing
(In Inches)</t>
  </si>
  <si>
    <t>Spacing
(Converted to Inches)</t>
  </si>
  <si>
    <t>Combined Spacings
(Whole Feet)</t>
  </si>
  <si>
    <t>Combined Spacings
(Remaining Inches)</t>
  </si>
  <si>
    <t>Combined Spacings
(Rounded to Whole Feet)</t>
  </si>
  <si>
    <t>Axles 1 - 2</t>
  </si>
  <si>
    <t>Axles 1 - 3</t>
  </si>
  <si>
    <t>Axles 1 - 4</t>
  </si>
  <si>
    <t>Axles 1 - 5</t>
  </si>
  <si>
    <t>Axles 1 - 6</t>
  </si>
  <si>
    <t>Axles 1 - 7</t>
  </si>
  <si>
    <t>Axles 1 - 8</t>
  </si>
  <si>
    <t>Axles 1 - 9</t>
  </si>
  <si>
    <t>Axles 1 - 10</t>
  </si>
  <si>
    <t>Axles 1 - 11</t>
  </si>
  <si>
    <t>Axles 1 - 12</t>
  </si>
  <si>
    <t>Axles 1 - 13</t>
  </si>
  <si>
    <t>Axles 2 - 3</t>
  </si>
  <si>
    <t>Axles 3 - 4</t>
  </si>
  <si>
    <t>Axles 4 - 5</t>
  </si>
  <si>
    <t>Axles 5 - 6</t>
  </si>
  <si>
    <t>Axles 6 - 7</t>
  </si>
  <si>
    <t>Axles 7 - 8</t>
  </si>
  <si>
    <t>Axles 8 - 9</t>
  </si>
  <si>
    <t>Axles 9 - 10</t>
  </si>
  <si>
    <t>Axles 10 - 11</t>
  </si>
  <si>
    <t>Axles 11 - 12</t>
  </si>
  <si>
    <t>Axles 12 - 13</t>
  </si>
  <si>
    <t>Number of Axles
(In Grouping)</t>
  </si>
  <si>
    <t>Axles 2 - 4</t>
  </si>
  <si>
    <t>Axles 2 - 5</t>
  </si>
  <si>
    <t>Axles 2 - 6</t>
  </si>
  <si>
    <t>Axles 2 - 7</t>
  </si>
  <si>
    <t>Axles 2 - 8</t>
  </si>
  <si>
    <t>Axles 2 - 9</t>
  </si>
  <si>
    <t>Axles 2 - 10</t>
  </si>
  <si>
    <t>Axles 2 - 11</t>
  </si>
  <si>
    <t>Axles 2 - 12</t>
  </si>
  <si>
    <t>Axles 2 - 13</t>
  </si>
  <si>
    <t>Axles 3 - 5</t>
  </si>
  <si>
    <t>Axles 3 - 6</t>
  </si>
  <si>
    <t>Axles 3 - 7</t>
  </si>
  <si>
    <t>Axles 3 - 8</t>
  </si>
  <si>
    <t>Axles 3 - 9</t>
  </si>
  <si>
    <t>Axles 3 - 10</t>
  </si>
  <si>
    <t>Axles 3 - 11</t>
  </si>
  <si>
    <t>Axles 3 - 12</t>
  </si>
  <si>
    <t>Axles 3 - 13</t>
  </si>
  <si>
    <t>Axles 4 - 6</t>
  </si>
  <si>
    <t>Axles 4 - 7</t>
  </si>
  <si>
    <t>Axles 4 - 8</t>
  </si>
  <si>
    <t>Axles 4 - 9</t>
  </si>
  <si>
    <t>Axles 4 - 10</t>
  </si>
  <si>
    <t>Axles 4 - 11</t>
  </si>
  <si>
    <t>Axles 4 - 12</t>
  </si>
  <si>
    <t>Axles 4 - 13</t>
  </si>
  <si>
    <t>Axles 5 - 7</t>
  </si>
  <si>
    <t>Axles 5 - 8</t>
  </si>
  <si>
    <t>Axles 5 - 9</t>
  </si>
  <si>
    <t>Axles 5 - 10</t>
  </si>
  <si>
    <t>Axles 5 - 11</t>
  </si>
  <si>
    <t>Axles 5 - 12</t>
  </si>
  <si>
    <t>Axles 5 - 13</t>
  </si>
  <si>
    <t>Axles 6 - 8</t>
  </si>
  <si>
    <t>Axles 6 - 9</t>
  </si>
  <si>
    <t>Axles 6 - 10</t>
  </si>
  <si>
    <t>Axles 6 - 11</t>
  </si>
  <si>
    <t>Axles 6 - 12</t>
  </si>
  <si>
    <t>Axles 6 - 13</t>
  </si>
  <si>
    <t>Axles 7 - 9</t>
  </si>
  <si>
    <t>Axles 7 - 10</t>
  </si>
  <si>
    <t>Axles 7 - 11</t>
  </si>
  <si>
    <t>Axles 7 - 12</t>
  </si>
  <si>
    <t>Axles 7 - 13</t>
  </si>
  <si>
    <t>Axles 8 - 10</t>
  </si>
  <si>
    <t>Axles 8 - 11</t>
  </si>
  <si>
    <t>Axles 8 - 12</t>
  </si>
  <si>
    <t>Axles 8 - 13</t>
  </si>
  <si>
    <t>Axles 9 - 11</t>
  </si>
  <si>
    <t>Axles 9 - 12</t>
  </si>
  <si>
    <t>Axles 9 - 13</t>
  </si>
  <si>
    <t>Axles 10 - 12</t>
  </si>
  <si>
    <t>Axles 10 - 13</t>
  </si>
  <si>
    <t>Axles 11 - 13</t>
  </si>
  <si>
    <t>Legal Weight
(Not Rounded)</t>
  </si>
  <si>
    <t>Legal Weight
(Rounded Down to 1000)</t>
  </si>
  <si>
    <t>Legal Weight
(Remainder to be Rounded)</t>
  </si>
  <si>
    <t>Legal Weight
(Remainder Rounded)</t>
  </si>
  <si>
    <t>Legal Weight
(As Integer for Math)</t>
  </si>
  <si>
    <t>Legal Weight
(Rounded)</t>
  </si>
  <si>
    <t>Actual Weight
(Input by User)</t>
  </si>
  <si>
    <t>Weight Difference
(Over / Under)</t>
  </si>
  <si>
    <t>Axle 1</t>
  </si>
  <si>
    <t>Axle 2</t>
  </si>
  <si>
    <t>Axle 3</t>
  </si>
  <si>
    <t>Axle 4</t>
  </si>
  <si>
    <t>Axle 5</t>
  </si>
  <si>
    <t>Axle 6</t>
  </si>
  <si>
    <t>Axle 7</t>
  </si>
  <si>
    <t>Axle 8</t>
  </si>
  <si>
    <t>Axle 9</t>
  </si>
  <si>
    <t>Axle 10</t>
  </si>
  <si>
    <t>Axle 11</t>
  </si>
  <si>
    <t>Axle 12</t>
  </si>
  <si>
    <t>Axle 13</t>
  </si>
  <si>
    <t>Spacings
(Feet, Inches)</t>
  </si>
  <si>
    <t>Spacings
(Rounded)</t>
  </si>
  <si>
    <t>Actual Weight
(Input Above)</t>
  </si>
  <si>
    <t>Applies?</t>
  </si>
  <si>
    <t>Over-Weight Differntial
(Absolute Value)</t>
  </si>
  <si>
    <t>Weight Status
(Simple Over/Under)</t>
  </si>
  <si>
    <t>Weight Status
(Over Weight w/ Values)</t>
  </si>
  <si>
    <t>Axle Spacings:</t>
  </si>
  <si>
    <t>Axle Weights:</t>
  </si>
  <si>
    <t># of Axles
(In Grouping)</t>
  </si>
  <si>
    <t>Restriction 3A:  Any consecutive group of 2 axles that is 8 ft. or less apart may not exceed 34,000 lbs. total.</t>
  </si>
  <si>
    <t>Restriction 3B:  Any consecutive group of 3 axles that is 8 ft. or less apart may not exceed 34,000 lbs. total.</t>
  </si>
  <si>
    <t>Restriction 3C:  Any consecutive group of 4 axles that is 11 ft. 5 in. or less apart may not exceed 44,000 lbs. total.</t>
  </si>
  <si>
    <t>Restriction 3D:  Any consecutive group of 5 axles that is 15 ft. 5 in. or less apart may not exceed 52,000 lbs. total.</t>
  </si>
  <si>
    <t>Restriction 3E:  Any consecutive group of 6 axles that is 19 ft. 5 in. or less apart may not exceed 60,000 lbs. total.</t>
  </si>
  <si>
    <t>Restriction 3F:  Any consecutive group of 7 axles that is 23 ft. 5 in. or less apart may not exceed 68,000 lbs. total.</t>
  </si>
  <si>
    <t>Restriction 3G:  Any consecutive group of 8 axles that is 27 ft. 5 in. or less apart may not exceed 75,500 lbs. total.</t>
  </si>
  <si>
    <t>Restriction 3H:  Any consecutive group of 9 axles that is 31 ft. 5 in. or less apart may not exceed 83,500 lbs. total.</t>
  </si>
  <si>
    <t>Restriction 3I:  Any consecutive group of 10 axles that is 35 ft. 5 in. or less apart may not exceed 90,000 lbs. total.</t>
  </si>
  <si>
    <t>Restriction 3J:  Any consecutive group of 11 axles that is 39 ft. 5 in. or less apart may not exceed 99,500 lbs. total.</t>
  </si>
  <si>
    <t>Restriction 3K:  Any consecutive group of 12 axles that is 43 ft. 5 in. or less apart may not exceed 109,000 lbs. total.</t>
  </si>
  <si>
    <t>Restriction 3L:  Any consecutive group of 13 axles that is 47 ft. 5 in. or less apart may not exceed 115,500 lbs. total.</t>
  </si>
  <si>
    <t>Restriction 1: No axle may exceed 20,000 lbs.</t>
  </si>
  <si>
    <t>Restriction 2: Total vehicle weight may not exceed 129,000 lbs.</t>
  </si>
  <si>
    <t>Restriction Text</t>
  </si>
  <si>
    <t>Combined Spacings
(Readable Format)</t>
  </si>
  <si>
    <t>Combined Spacings
(Rounded to Ft, Readable)</t>
  </si>
  <si>
    <t>Inches Without Feet</t>
  </si>
  <si>
    <t>Feet Without Inches</t>
  </si>
  <si>
    <t>Feet Without Weight</t>
  </si>
  <si>
    <t>Inches Without Weight</t>
  </si>
  <si>
    <t>Total Gross Weight:</t>
  </si>
  <si>
    <t>Total # of Axles:</t>
  </si>
  <si>
    <t>Total Axles</t>
  </si>
  <si>
    <t>Total Wheel Base</t>
  </si>
  <si>
    <t>Total Gross Weight</t>
  </si>
  <si>
    <t>Weight Without Feet</t>
  </si>
  <si>
    <t>Weight Without Inches</t>
  </si>
  <si>
    <t>Total Input Errors:</t>
  </si>
  <si>
    <t>Legal Weight
(Rounded, Overridden by Restrictions)</t>
  </si>
  <si>
    <t>Weight Status
(Allowed/Over)</t>
  </si>
  <si>
    <t>Total Axle Distance:</t>
  </si>
  <si>
    <t>No longer using this sheet's functionality.  Didn't delete just in case.</t>
  </si>
  <si>
    <t>Error Message to Display</t>
  </si>
  <si>
    <t>1-2</t>
  </si>
  <si>
    <t>2-3</t>
  </si>
  <si>
    <t>3-4</t>
  </si>
  <si>
    <t>4-5</t>
  </si>
  <si>
    <t>5-6</t>
  </si>
  <si>
    <t>6-7</t>
  </si>
  <si>
    <t>7-8</t>
  </si>
  <si>
    <t>8-9</t>
  </si>
  <si>
    <t>9-10</t>
  </si>
  <si>
    <t>10-11</t>
  </si>
  <si>
    <t>11-12</t>
  </si>
  <si>
    <t>12-13</t>
  </si>
  <si>
    <t># of Errors for 
Axle Range</t>
  </si>
  <si>
    <t>Axle Range</t>
  </si>
  <si>
    <t>Axle Ranges to Display with Errors</t>
  </si>
  <si>
    <t>1</t>
  </si>
  <si>
    <t>2</t>
  </si>
  <si>
    <t>3</t>
  </si>
  <si>
    <t>4</t>
  </si>
  <si>
    <t>5</t>
  </si>
  <si>
    <t>6</t>
  </si>
  <si>
    <t>7</t>
  </si>
  <si>
    <t>8</t>
  </si>
  <si>
    <t>9</t>
  </si>
  <si>
    <t>10</t>
  </si>
  <si>
    <t>11</t>
  </si>
  <si>
    <t>12</t>
  </si>
  <si>
    <t>13</t>
  </si>
  <si>
    <t>Errors from Incorrect Spacings:</t>
  </si>
  <si>
    <t>Errors from Missing Weights:</t>
  </si>
  <si>
    <t>Axles over 20,000 Pounds:</t>
  </si>
  <si>
    <t>Over 20,000 Pounds?</t>
  </si>
  <si>
    <t>Axle</t>
  </si>
  <si>
    <t xml:space="preserve"># of Errors 
for Axle </t>
  </si>
  <si>
    <t>Axles to Display 
with Errors</t>
  </si>
  <si>
    <t>Missing Axle Weights</t>
  </si>
  <si>
    <t>Missing Axle Spacings</t>
  </si>
  <si>
    <t>Incorrect or Missing Axle Spacings (D,E,F,G,H)</t>
  </si>
  <si>
    <t>Weights over 20,000 pounds per axle. (F)</t>
  </si>
  <si>
    <t>Spacings Without Weights (C,D) &amp; Missing Axle Weights ( E)</t>
  </si>
  <si>
    <t>Note: Two or more consecutive tandem axle groups, 36 feet or more apart, may weigh up to 68,000 pounds.  
They are not limited to the calculated amount listed in the chart to the left.  Please note that this is rare and is an explicit exception written into Idaho Code.</t>
  </si>
  <si>
    <t>http://apps.itd.idaho.gov/apps/dmv-links/Instructions_Legal_Weight_Calculator.pdf</t>
  </si>
  <si>
    <t>For instructions on how to use this tool, please visit: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</si>
</sst>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1"/>
      <color theme="1"/>
      <name val="Calibri"/>
      <family val="2"/>
      <scheme val="minor"/>
    </font>
    <font>
      <sz val="10"/>
      <color theme="1"/>
      <name val="Calibri"/>
      <family val="2"/>
      <scheme val="minor"/>
    </font>
    <font>
      <b/>
      <sz val="9"/>
      <color theme="1"/>
      <name val="Calibri"/>
      <family val="2"/>
      <scheme val="minor"/>
    </font>
    <font>
      <sz val="9.5"/>
      <color theme="1"/>
      <name val="Calibri"/>
      <family val="2"/>
      <scheme val="minor"/>
    </font>
    <font>
      <b/>
      <sz val="9.5"/>
      <color theme="1"/>
      <name val="Calibri"/>
      <family val="2"/>
      <scheme val="minor"/>
    </font>
    <font>
      <sz val="16"/>
      <color rgb="FFFF0000"/>
      <name val="Calibri"/>
      <family val="2"/>
      <scheme val="minor"/>
    </font>
    <font>
      <b/>
      <sz val="11"/>
      <name val="Calibri"/>
      <family val="2"/>
      <scheme val="minor"/>
    </font>
    <font>
      <u/>
      <sz val="11"/>
      <color theme="10"/>
      <name val="Calibri"/>
      <family val="2"/>
      <scheme val="minor"/>
    </font>
    <font>
      <sz val="9"/>
      <color theme="1"/>
      <name val="Calibri"/>
      <family val="2"/>
      <scheme val="minor"/>
    </font>
    <font>
      <u/>
      <sz val="9"/>
      <color theme="10"/>
      <name val="Calibri"/>
      <family val="2"/>
      <scheme val="minor"/>
    </font>
  </fonts>
  <fills count="18">
    <fill>
      <patternFill patternType="none"/>
    </fill>
    <fill>
      <patternFill patternType="gray125"/>
    </fill>
    <fill>
      <patternFill patternType="solid">
        <fgColor theme="8" tint="0.59999389629810485"/>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8" tint="0.39997558519241921"/>
        <bgColor indexed="64"/>
      </patternFill>
    </fill>
    <fill>
      <patternFill patternType="solid">
        <fgColor theme="7" tint="0.59999389629810485"/>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7" tint="0.79998168889431442"/>
        <bgColor indexed="64"/>
      </patternFill>
    </fill>
    <fill>
      <patternFill patternType="solid">
        <fgColor theme="9" tint="0.39997558519241921"/>
        <bgColor indexed="64"/>
      </patternFill>
    </fill>
    <fill>
      <patternFill patternType="solid">
        <fgColor theme="4" tint="0.59999389629810485"/>
        <bgColor indexed="64"/>
      </patternFill>
    </fill>
    <fill>
      <patternFill patternType="solid">
        <fgColor rgb="FFFFC000"/>
        <bgColor indexed="64"/>
      </patternFill>
    </fill>
    <fill>
      <patternFill patternType="solid">
        <fgColor rgb="FFFF66CC"/>
        <bgColor indexed="64"/>
      </patternFill>
    </fill>
    <fill>
      <patternFill patternType="solid">
        <fgColor rgb="FFFFFF00"/>
        <bgColor indexed="64"/>
      </patternFill>
    </fill>
    <fill>
      <patternFill patternType="solid">
        <fgColor rgb="FF92D050"/>
        <bgColor indexed="64"/>
      </patternFill>
    </fill>
    <fill>
      <patternFill patternType="solid">
        <fgColor theme="4" tint="0.39997558519241921"/>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s>
  <cellStyleXfs count="2">
    <xf numFmtId="0" fontId="0" fillId="0" borderId="0"/>
    <xf numFmtId="0" fontId="7" fillId="0" borderId="0" applyNumberFormat="0" applyFill="0" applyBorder="0" applyAlignment="0" applyProtection="0"/>
  </cellStyleXfs>
  <cellXfs count="108">
    <xf numFmtId="0" fontId="0" fillId="0" borderId="0" xfId="0"/>
    <xf numFmtId="0" fontId="1" fillId="0" borderId="0" xfId="0" applyFont="1"/>
    <xf numFmtId="49" fontId="1" fillId="5" borderId="1" xfId="0" applyNumberFormat="1" applyFont="1" applyFill="1" applyBorder="1"/>
    <xf numFmtId="0" fontId="1" fillId="3" borderId="1" xfId="0" applyFont="1" applyFill="1" applyBorder="1" applyAlignment="1">
      <alignment horizontal="center" vertical="center"/>
    </xf>
    <xf numFmtId="0" fontId="1" fillId="4" borderId="1" xfId="0" applyFont="1" applyFill="1" applyBorder="1" applyAlignment="1">
      <alignment horizontal="center"/>
    </xf>
    <xf numFmtId="0" fontId="1" fillId="4" borderId="1" xfId="0" applyFont="1" applyFill="1" applyBorder="1" applyAlignment="1">
      <alignment horizontal="center" vertical="center"/>
    </xf>
    <xf numFmtId="0" fontId="1" fillId="6" borderId="1" xfId="0" applyFont="1" applyFill="1" applyBorder="1" applyAlignment="1">
      <alignment horizontal="center" vertical="center"/>
    </xf>
    <xf numFmtId="0" fontId="1" fillId="0" borderId="0" xfId="0" applyFont="1" applyAlignment="1">
      <alignment horizontal="center"/>
    </xf>
    <xf numFmtId="0" fontId="2" fillId="5" borderId="1" xfId="0" applyFont="1" applyFill="1" applyBorder="1" applyAlignment="1">
      <alignment horizontal="center" wrapText="1"/>
    </xf>
    <xf numFmtId="0" fontId="2" fillId="5" borderId="1" xfId="0" applyFont="1" applyFill="1" applyBorder="1" applyAlignment="1">
      <alignment horizontal="center" vertical="center" wrapText="1"/>
    </xf>
    <xf numFmtId="3" fontId="1" fillId="9" borderId="1" xfId="0" applyNumberFormat="1" applyFont="1" applyFill="1" applyBorder="1" applyAlignment="1">
      <alignment horizontal="center" vertical="center"/>
    </xf>
    <xf numFmtId="3" fontId="1" fillId="8" borderId="1" xfId="0" applyNumberFormat="1" applyFont="1" applyFill="1" applyBorder="1" applyAlignment="1">
      <alignment horizontal="center" vertical="center"/>
    </xf>
    <xf numFmtId="3" fontId="1" fillId="7" borderId="1" xfId="0" applyNumberFormat="1" applyFont="1" applyFill="1" applyBorder="1" applyAlignment="1">
      <alignment horizontal="center" vertical="center"/>
    </xf>
    <xf numFmtId="3" fontId="1" fillId="10" borderId="1" xfId="0" applyNumberFormat="1" applyFont="1" applyFill="1" applyBorder="1" applyAlignment="1">
      <alignment horizontal="center" vertical="center"/>
    </xf>
    <xf numFmtId="0" fontId="3" fillId="0" borderId="0" xfId="0" applyFont="1"/>
    <xf numFmtId="3" fontId="1" fillId="3" borderId="1" xfId="0" applyNumberFormat="1" applyFont="1" applyFill="1" applyBorder="1" applyAlignment="1">
      <alignment horizontal="center" vertical="center"/>
    </xf>
    <xf numFmtId="49" fontId="3" fillId="5" borderId="1" xfId="0" applyNumberFormat="1" applyFont="1" applyFill="1" applyBorder="1"/>
    <xf numFmtId="0" fontId="3" fillId="11" borderId="1" xfId="0" applyFont="1" applyFill="1" applyBorder="1"/>
    <xf numFmtId="0" fontId="3" fillId="0" borderId="0" xfId="0" applyFont="1" applyAlignment="1"/>
    <xf numFmtId="0" fontId="3" fillId="0" borderId="0" xfId="0" applyFont="1" applyAlignment="1">
      <alignment wrapText="1"/>
    </xf>
    <xf numFmtId="0" fontId="3" fillId="11" borderId="1" xfId="0" applyNumberFormat="1" applyFont="1" applyFill="1" applyBorder="1"/>
    <xf numFmtId="1" fontId="1" fillId="11" borderId="1" xfId="0" applyNumberFormat="1" applyFont="1" applyFill="1" applyBorder="1" applyAlignment="1">
      <alignment horizontal="center"/>
    </xf>
    <xf numFmtId="0" fontId="3" fillId="5" borderId="1" xfId="0" applyFont="1" applyFill="1" applyBorder="1" applyAlignment="1">
      <alignment vertical="top" wrapText="1"/>
    </xf>
    <xf numFmtId="0" fontId="3" fillId="5" borderId="1" xfId="0" applyNumberFormat="1" applyFont="1" applyFill="1" applyBorder="1" applyAlignment="1">
      <alignment horizontal="center" vertical="center"/>
    </xf>
    <xf numFmtId="0" fontId="4" fillId="5" borderId="1" xfId="0" applyFont="1" applyFill="1" applyBorder="1" applyAlignment="1">
      <alignment horizontal="center"/>
    </xf>
    <xf numFmtId="3" fontId="1" fillId="7" borderId="1" xfId="0" applyNumberFormat="1" applyFont="1" applyFill="1" applyBorder="1" applyAlignment="1">
      <alignment horizontal="right" vertical="center"/>
    </xf>
    <xf numFmtId="0" fontId="0" fillId="3" borderId="1" xfId="0" applyFont="1" applyFill="1" applyBorder="1" applyAlignment="1" applyProtection="1">
      <alignment horizontal="center" vertical="center"/>
      <protection locked="0"/>
    </xf>
    <xf numFmtId="0" fontId="3" fillId="0" borderId="0" xfId="0" applyFont="1" applyBorder="1"/>
    <xf numFmtId="0" fontId="3" fillId="0" borderId="8" xfId="0" applyFont="1" applyBorder="1"/>
    <xf numFmtId="0" fontId="3" fillId="0" borderId="9" xfId="0" applyFont="1" applyBorder="1"/>
    <xf numFmtId="0" fontId="3" fillId="0" borderId="10" xfId="0" applyFont="1" applyBorder="1" applyAlignment="1">
      <alignment horizontal="right" vertical="center"/>
    </xf>
    <xf numFmtId="0" fontId="3" fillId="0" borderId="10" xfId="0" applyFont="1" applyBorder="1" applyAlignment="1">
      <alignment horizontal="right"/>
    </xf>
    <xf numFmtId="0" fontId="0" fillId="0" borderId="0" xfId="0" applyFont="1" applyBorder="1"/>
    <xf numFmtId="0" fontId="1" fillId="2" borderId="1" xfId="0" applyFont="1" applyFill="1" applyBorder="1" applyAlignment="1">
      <alignment horizontal="center" vertical="center"/>
    </xf>
    <xf numFmtId="0" fontId="1" fillId="12" borderId="1" xfId="0" applyFont="1" applyFill="1" applyBorder="1" applyAlignment="1">
      <alignment horizontal="center"/>
    </xf>
    <xf numFmtId="0" fontId="3" fillId="13" borderId="1" xfId="0" applyFont="1" applyFill="1" applyBorder="1" applyAlignment="1">
      <alignment horizontal="center"/>
    </xf>
    <xf numFmtId="0" fontId="3" fillId="14" borderId="1" xfId="0" applyFont="1" applyFill="1" applyBorder="1" applyAlignment="1">
      <alignment horizontal="center"/>
    </xf>
    <xf numFmtId="3" fontId="1" fillId="16" borderId="1" xfId="0" applyNumberFormat="1" applyFont="1" applyFill="1" applyBorder="1" applyAlignment="1">
      <alignment horizontal="center" vertical="center"/>
    </xf>
    <xf numFmtId="0" fontId="3" fillId="0" borderId="10" xfId="0" applyFont="1" applyBorder="1"/>
    <xf numFmtId="0" fontId="3" fillId="0" borderId="0" xfId="0" applyFont="1" applyBorder="1" applyAlignment="1">
      <alignment wrapText="1"/>
    </xf>
    <xf numFmtId="0" fontId="5" fillId="15" borderId="0" xfId="0" applyFont="1" applyFill="1" applyAlignment="1">
      <alignment horizontal="center" vertical="center" wrapText="1"/>
    </xf>
    <xf numFmtId="0" fontId="3" fillId="5" borderId="2" xfId="0" applyFont="1" applyFill="1" applyBorder="1" applyAlignment="1">
      <alignment horizontal="center"/>
    </xf>
    <xf numFmtId="0" fontId="3" fillId="5" borderId="3" xfId="0" applyFont="1" applyFill="1" applyBorder="1" applyAlignment="1">
      <alignment horizontal="center"/>
    </xf>
    <xf numFmtId="0" fontId="3" fillId="5" borderId="4" xfId="0" applyFont="1" applyFill="1" applyBorder="1" applyAlignment="1">
      <alignment horizontal="center"/>
    </xf>
    <xf numFmtId="0" fontId="3" fillId="13" borderId="2" xfId="0" applyFont="1" applyFill="1" applyBorder="1" applyAlignment="1"/>
    <xf numFmtId="0" fontId="3" fillId="13" borderId="3" xfId="0" applyFont="1" applyFill="1" applyBorder="1" applyAlignment="1"/>
    <xf numFmtId="0" fontId="3" fillId="13" borderId="4" xfId="0" applyFont="1" applyFill="1" applyBorder="1" applyAlignment="1"/>
    <xf numFmtId="0" fontId="1" fillId="9" borderId="1" xfId="0" applyFont="1" applyFill="1" applyBorder="1" applyAlignment="1">
      <alignment horizontal="center"/>
    </xf>
    <xf numFmtId="49" fontId="1" fillId="9" borderId="1" xfId="0" applyNumberFormat="1" applyFont="1" applyFill="1" applyBorder="1" applyAlignment="1">
      <alignment horizontal="center"/>
    </xf>
    <xf numFmtId="0" fontId="3" fillId="9" borderId="1" xfId="0" applyFont="1" applyFill="1" applyBorder="1"/>
    <xf numFmtId="0" fontId="3" fillId="13" borderId="11" xfId="0" applyFont="1" applyFill="1" applyBorder="1" applyAlignment="1">
      <alignment horizontal="center" vertical="center"/>
    </xf>
    <xf numFmtId="0" fontId="1" fillId="17" borderId="1" xfId="0" applyFont="1" applyFill="1" applyBorder="1" applyAlignment="1">
      <alignment horizontal="center"/>
    </xf>
    <xf numFmtId="0" fontId="3" fillId="13" borderId="2" xfId="0" applyFont="1" applyFill="1" applyBorder="1" applyAlignment="1">
      <alignment vertical="center"/>
    </xf>
    <xf numFmtId="0" fontId="3" fillId="13" borderId="3" xfId="0" applyFont="1" applyFill="1" applyBorder="1" applyAlignment="1">
      <alignment vertical="center"/>
    </xf>
    <xf numFmtId="0" fontId="3" fillId="13" borderId="4" xfId="0" applyFont="1" applyFill="1" applyBorder="1" applyAlignment="1">
      <alignment vertical="center"/>
    </xf>
    <xf numFmtId="3" fontId="3" fillId="5" borderId="3" xfId="0" applyNumberFormat="1" applyFont="1" applyFill="1" applyBorder="1" applyAlignment="1">
      <alignment horizontal="left" vertical="center"/>
    </xf>
    <xf numFmtId="3" fontId="3" fillId="5" borderId="4" xfId="0" applyNumberFormat="1" applyFont="1" applyFill="1" applyBorder="1" applyAlignment="1">
      <alignment horizontal="left" vertical="center"/>
    </xf>
    <xf numFmtId="0" fontId="4" fillId="5" borderId="2" xfId="0" applyFont="1" applyFill="1" applyBorder="1" applyAlignment="1">
      <alignment horizontal="right" vertical="center"/>
    </xf>
    <xf numFmtId="0" fontId="4" fillId="5" borderId="3" xfId="0" applyFont="1" applyFill="1" applyBorder="1" applyAlignment="1">
      <alignment horizontal="right" vertical="center"/>
    </xf>
    <xf numFmtId="3" fontId="3" fillId="10" borderId="2" xfId="0" applyNumberFormat="1" applyFont="1" applyFill="1" applyBorder="1" applyAlignment="1">
      <alignment horizontal="center"/>
    </xf>
    <xf numFmtId="3" fontId="3" fillId="10" borderId="3" xfId="0" applyNumberFormat="1" applyFont="1" applyFill="1" applyBorder="1" applyAlignment="1">
      <alignment horizontal="center"/>
    </xf>
    <xf numFmtId="3" fontId="3" fillId="10" borderId="4" xfId="0" applyNumberFormat="1" applyFont="1" applyFill="1" applyBorder="1" applyAlignment="1">
      <alignment horizontal="center"/>
    </xf>
    <xf numFmtId="3" fontId="3" fillId="10" borderId="2" xfId="0" applyNumberFormat="1" applyFont="1" applyFill="1" applyBorder="1" applyAlignment="1">
      <alignment horizontal="right"/>
    </xf>
    <xf numFmtId="0" fontId="3" fillId="10" borderId="3" xfId="0" applyFont="1" applyFill="1" applyBorder="1" applyAlignment="1">
      <alignment horizontal="right"/>
    </xf>
    <xf numFmtId="0" fontId="3" fillId="10" borderId="4" xfId="0" applyFont="1" applyFill="1" applyBorder="1" applyAlignment="1">
      <alignment horizontal="right"/>
    </xf>
    <xf numFmtId="0" fontId="6" fillId="3" borderId="15"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6" fillId="3" borderId="16" xfId="0" applyFont="1" applyFill="1" applyBorder="1" applyAlignment="1">
      <alignment horizontal="center" vertical="center" wrapText="1"/>
    </xf>
    <xf numFmtId="0" fontId="6" fillId="3" borderId="17" xfId="0" applyFont="1" applyFill="1" applyBorder="1" applyAlignment="1">
      <alignment horizontal="center" vertical="center" wrapText="1"/>
    </xf>
    <xf numFmtId="0" fontId="6" fillId="3" borderId="0" xfId="0" applyFont="1" applyFill="1" applyBorder="1" applyAlignment="1">
      <alignment horizontal="center" vertical="center" wrapText="1"/>
    </xf>
    <xf numFmtId="0" fontId="6" fillId="3" borderId="6" xfId="0" applyFont="1" applyFill="1" applyBorder="1" applyAlignment="1">
      <alignment horizontal="center" vertical="center" wrapText="1"/>
    </xf>
    <xf numFmtId="0" fontId="6" fillId="3" borderId="13" xfId="0" applyFont="1" applyFill="1" applyBorder="1" applyAlignment="1">
      <alignment horizontal="center" vertical="center" wrapText="1"/>
    </xf>
    <xf numFmtId="0" fontId="6" fillId="3" borderId="7" xfId="0" applyFont="1" applyFill="1" applyBorder="1" applyAlignment="1">
      <alignment horizontal="center" vertical="center" wrapText="1"/>
    </xf>
    <xf numFmtId="0" fontId="6" fillId="3" borderId="14" xfId="0" applyFont="1" applyFill="1" applyBorder="1" applyAlignment="1">
      <alignment horizontal="center" vertical="center" wrapText="1"/>
    </xf>
    <xf numFmtId="0" fontId="3" fillId="10" borderId="2" xfId="0" applyFont="1" applyFill="1" applyBorder="1" applyAlignment="1">
      <alignment horizontal="center"/>
    </xf>
    <xf numFmtId="0" fontId="3" fillId="10" borderId="3" xfId="0" applyFont="1" applyFill="1" applyBorder="1" applyAlignment="1">
      <alignment horizontal="center"/>
    </xf>
    <xf numFmtId="0" fontId="3" fillId="10" borderId="4" xfId="0" applyFont="1" applyFill="1" applyBorder="1" applyAlignment="1">
      <alignment horizontal="center"/>
    </xf>
    <xf numFmtId="49" fontId="2" fillId="5" borderId="2" xfId="0" applyNumberFormat="1" applyFont="1" applyFill="1" applyBorder="1" applyAlignment="1">
      <alignment horizontal="center" vertical="center" wrapText="1"/>
    </xf>
    <xf numFmtId="49" fontId="2" fillId="5" borderId="3" xfId="0" applyNumberFormat="1" applyFont="1" applyFill="1" applyBorder="1" applyAlignment="1">
      <alignment horizontal="center" vertical="center" wrapText="1"/>
    </xf>
    <xf numFmtId="49" fontId="2" fillId="5" borderId="4" xfId="0" applyNumberFormat="1" applyFont="1" applyFill="1" applyBorder="1" applyAlignment="1">
      <alignment horizontal="center" vertical="center" wrapText="1"/>
    </xf>
    <xf numFmtId="3" fontId="0" fillId="2" borderId="2" xfId="0" applyNumberFormat="1" applyFont="1" applyFill="1" applyBorder="1" applyAlignment="1" applyProtection="1">
      <alignment horizontal="center" vertical="center"/>
      <protection locked="0"/>
    </xf>
    <xf numFmtId="3" fontId="0" fillId="2" borderId="4" xfId="0" applyNumberFormat="1" applyFont="1" applyFill="1" applyBorder="1" applyAlignment="1" applyProtection="1">
      <alignment horizontal="center" vertical="center"/>
      <protection locked="0"/>
    </xf>
    <xf numFmtId="0" fontId="3" fillId="0" borderId="0" xfId="0" applyFont="1" applyBorder="1" applyAlignment="1">
      <alignment horizontal="center"/>
    </xf>
    <xf numFmtId="0" fontId="3" fillId="0" borderId="6" xfId="0" applyFont="1" applyBorder="1" applyAlignment="1">
      <alignment horizontal="center"/>
    </xf>
    <xf numFmtId="0" fontId="3" fillId="10" borderId="15" xfId="0" applyFont="1" applyFill="1" applyBorder="1" applyAlignment="1">
      <alignment horizontal="left" vertical="center" wrapText="1"/>
    </xf>
    <xf numFmtId="0" fontId="3" fillId="10" borderId="5" xfId="0" applyFont="1" applyFill="1" applyBorder="1" applyAlignment="1">
      <alignment horizontal="left" vertical="center" wrapText="1"/>
    </xf>
    <xf numFmtId="0" fontId="3" fillId="10" borderId="16" xfId="0" applyFont="1" applyFill="1" applyBorder="1" applyAlignment="1">
      <alignment horizontal="left" vertical="center" wrapText="1"/>
    </xf>
    <xf numFmtId="0" fontId="3" fillId="10" borderId="17" xfId="0" applyFont="1" applyFill="1" applyBorder="1" applyAlignment="1">
      <alignment horizontal="left" vertical="center" wrapText="1"/>
    </xf>
    <xf numFmtId="0" fontId="3" fillId="10" borderId="0" xfId="0" applyFont="1" applyFill="1" applyBorder="1" applyAlignment="1">
      <alignment horizontal="left" vertical="center" wrapText="1"/>
    </xf>
    <xf numFmtId="0" fontId="3" fillId="10" borderId="6" xfId="0" applyFont="1" applyFill="1" applyBorder="1" applyAlignment="1">
      <alignment horizontal="left" vertical="center" wrapText="1"/>
    </xf>
    <xf numFmtId="0" fontId="3" fillId="10" borderId="13" xfId="0" applyFont="1" applyFill="1" applyBorder="1" applyAlignment="1">
      <alignment horizontal="left" vertical="center" wrapText="1"/>
    </xf>
    <xf numFmtId="0" fontId="3" fillId="10" borderId="7" xfId="0" applyFont="1" applyFill="1" applyBorder="1" applyAlignment="1">
      <alignment horizontal="left" vertical="center" wrapText="1"/>
    </xf>
    <xf numFmtId="0" fontId="3" fillId="10" borderId="14" xfId="0" applyFont="1" applyFill="1" applyBorder="1" applyAlignment="1">
      <alignment horizontal="left" vertical="center" wrapText="1"/>
    </xf>
    <xf numFmtId="0" fontId="2" fillId="5" borderId="11" xfId="0" applyFont="1" applyFill="1" applyBorder="1" applyAlignment="1">
      <alignment horizontal="center" vertical="center" wrapText="1"/>
    </xf>
    <xf numFmtId="0" fontId="2" fillId="5" borderId="12" xfId="0" applyFont="1" applyFill="1" applyBorder="1" applyAlignment="1">
      <alignment horizontal="center" vertical="center" wrapText="1"/>
    </xf>
    <xf numFmtId="0" fontId="3" fillId="5" borderId="2" xfId="0" applyFont="1" applyFill="1" applyBorder="1" applyAlignment="1">
      <alignment horizontal="right"/>
    </xf>
    <xf numFmtId="0" fontId="3" fillId="5" borderId="4" xfId="0" applyFont="1" applyFill="1" applyBorder="1" applyAlignment="1">
      <alignment horizontal="right"/>
    </xf>
    <xf numFmtId="0" fontId="3" fillId="14" borderId="2" xfId="0" applyFont="1" applyFill="1" applyBorder="1" applyAlignment="1">
      <alignment horizontal="center"/>
    </xf>
    <xf numFmtId="0" fontId="3" fillId="14" borderId="3" xfId="0" applyFont="1" applyFill="1" applyBorder="1" applyAlignment="1">
      <alignment horizontal="center"/>
    </xf>
    <xf numFmtId="0" fontId="3" fillId="14" borderId="4" xfId="0" applyFont="1" applyFill="1" applyBorder="1" applyAlignment="1">
      <alignment horizontal="center"/>
    </xf>
    <xf numFmtId="0" fontId="3" fillId="5" borderId="15" xfId="0" applyFont="1" applyFill="1" applyBorder="1" applyAlignment="1">
      <alignment horizontal="right" wrapText="1"/>
    </xf>
    <xf numFmtId="0" fontId="3" fillId="5" borderId="16" xfId="0" applyFont="1" applyFill="1" applyBorder="1" applyAlignment="1">
      <alignment horizontal="right" wrapText="1"/>
    </xf>
    <xf numFmtId="0" fontId="8" fillId="2" borderId="15" xfId="0" applyFont="1" applyFill="1" applyBorder="1" applyAlignment="1">
      <alignment horizontal="center"/>
    </xf>
    <xf numFmtId="0" fontId="8" fillId="2" borderId="5" xfId="0" applyFont="1" applyFill="1" applyBorder="1" applyAlignment="1">
      <alignment horizontal="center"/>
    </xf>
    <xf numFmtId="0" fontId="8" fillId="2" borderId="16" xfId="0" applyFont="1" applyFill="1" applyBorder="1" applyAlignment="1">
      <alignment horizontal="center"/>
    </xf>
    <xf numFmtId="0" fontId="9" fillId="2" borderId="13" xfId="1" applyFont="1" applyFill="1" applyBorder="1" applyAlignment="1" applyProtection="1">
      <alignment horizontal="center"/>
      <protection locked="0"/>
    </xf>
    <xf numFmtId="0" fontId="8" fillId="2" borderId="7" xfId="0" applyFont="1" applyFill="1" applyBorder="1" applyAlignment="1" applyProtection="1">
      <alignment horizontal="center"/>
      <protection locked="0"/>
    </xf>
    <xf numFmtId="0" fontId="8" fillId="2" borderId="14" xfId="0" applyFont="1" applyFill="1" applyBorder="1" applyAlignment="1" applyProtection="1">
      <alignment horizontal="center"/>
      <protection locked="0"/>
    </xf>
  </cellXfs>
  <cellStyles count="2">
    <cellStyle name="Hyperlink" xfId="1" builtinId="8"/>
    <cellStyle name="Normal" xfId="0" builtinId="0"/>
  </cellStyles>
  <dxfs count="113">
    <dxf>
      <font>
        <b/>
        <i val="0"/>
        <color rgb="FFFF0000"/>
      </font>
      <fill>
        <patternFill>
          <bgColor rgb="FFFFFF99"/>
        </patternFill>
      </fill>
    </dxf>
    <dxf>
      <font>
        <b/>
        <i val="0"/>
        <color rgb="FFFF0000"/>
      </font>
      <fill>
        <patternFill>
          <bgColor rgb="FFFFFF99"/>
        </patternFill>
      </fill>
    </dxf>
    <dxf>
      <font>
        <b/>
        <i val="0"/>
        <color rgb="FFFF0000"/>
      </font>
      <fill>
        <patternFill>
          <bgColor rgb="FFFFFF99"/>
        </patternFill>
      </fill>
    </dxf>
    <dxf>
      <font>
        <b/>
        <i val="0"/>
        <color rgb="FFFF0000"/>
      </font>
      <fill>
        <patternFill>
          <bgColor rgb="FFFFFF99"/>
        </patternFill>
      </fill>
    </dxf>
    <dxf>
      <font>
        <b/>
        <i val="0"/>
        <color rgb="FFFF0000"/>
      </font>
      <fill>
        <patternFill>
          <bgColor rgb="FFFFFF99"/>
        </patternFill>
      </fill>
    </dxf>
    <dxf>
      <font>
        <b/>
        <i val="0"/>
        <color rgb="FFFF0000"/>
      </font>
      <fill>
        <patternFill>
          <bgColor rgb="FFFFFF99"/>
        </patternFill>
      </fill>
    </dxf>
    <dxf>
      <font>
        <b/>
        <i val="0"/>
        <color rgb="FFFF0000"/>
      </font>
      <fill>
        <patternFill>
          <bgColor rgb="FFFFFF99"/>
        </patternFill>
      </fill>
    </dxf>
    <dxf>
      <font>
        <b/>
        <i val="0"/>
        <color rgb="FFFF0000"/>
      </font>
      <fill>
        <patternFill>
          <bgColor rgb="FFFFFF99"/>
        </patternFill>
      </fill>
    </dxf>
    <dxf>
      <font>
        <b/>
        <i val="0"/>
        <color rgb="FFFF0000"/>
      </font>
      <fill>
        <patternFill>
          <bgColor rgb="FFFFFF99"/>
        </patternFill>
      </fill>
    </dxf>
    <dxf>
      <font>
        <b/>
        <i val="0"/>
        <color rgb="FFFF0000"/>
      </font>
      <fill>
        <patternFill>
          <bgColor rgb="FFFFFF99"/>
        </patternFill>
      </fill>
    </dxf>
    <dxf>
      <font>
        <b/>
        <i val="0"/>
        <color rgb="FFFF0000"/>
      </font>
      <fill>
        <patternFill>
          <bgColor rgb="FFFFFF99"/>
        </patternFill>
      </fill>
    </dxf>
    <dxf>
      <font>
        <b/>
        <i val="0"/>
        <color rgb="FFFF0000"/>
      </font>
      <fill>
        <patternFill>
          <bgColor rgb="FFFFFF99"/>
        </patternFill>
      </fill>
    </dxf>
    <dxf>
      <font>
        <b/>
        <i val="0"/>
        <color rgb="FFFF0000"/>
      </font>
      <fill>
        <patternFill>
          <bgColor rgb="FFFFFF99"/>
        </patternFill>
      </fill>
    </dxf>
    <dxf>
      <font>
        <b/>
        <i val="0"/>
        <color rgb="FFFF0000"/>
      </font>
      <fill>
        <patternFill>
          <bgColor rgb="FFFFFF99"/>
        </patternFill>
      </fill>
    </dxf>
    <dxf>
      <font>
        <b/>
        <i val="0"/>
        <color rgb="FFFF0000"/>
      </font>
      <fill>
        <patternFill>
          <bgColor rgb="FFFFFF99"/>
        </patternFill>
      </fill>
    </dxf>
    <dxf>
      <font>
        <b/>
        <i val="0"/>
        <color rgb="FFFF0000"/>
      </font>
      <fill>
        <patternFill>
          <bgColor rgb="FFFFFF99"/>
        </patternFill>
      </fill>
    </dxf>
    <dxf>
      <fill>
        <patternFill>
          <bgColor rgb="FFFFFF99"/>
        </patternFill>
      </fill>
    </dxf>
    <dxf>
      <fill>
        <patternFill>
          <bgColor rgb="FFFFFF99"/>
        </patternFill>
      </fill>
    </dxf>
    <dxf>
      <fill>
        <patternFill>
          <bgColor theme="9" tint="0.79998168889431442"/>
        </patternFill>
      </fill>
    </dxf>
    <dxf>
      <fill>
        <patternFill>
          <bgColor rgb="FFFFFF99"/>
        </patternFill>
      </fill>
    </dxf>
    <dxf>
      <fill>
        <patternFill>
          <bgColor rgb="FFFFFF99"/>
        </patternFill>
      </fill>
    </dxf>
    <dxf>
      <fill>
        <patternFill>
          <bgColor rgb="FFFFFF99"/>
        </patternFill>
      </fill>
    </dxf>
    <dxf>
      <fill>
        <patternFill>
          <bgColor theme="9" tint="0.79998168889431442"/>
        </patternFill>
      </fill>
    </dxf>
    <dxf>
      <fill>
        <patternFill>
          <bgColor rgb="FFFFFF99"/>
        </patternFill>
      </fill>
    </dxf>
    <dxf>
      <fill>
        <patternFill>
          <bgColor rgb="FFFFFF99"/>
        </patternFill>
      </fill>
    </dxf>
    <dxf>
      <fill>
        <patternFill>
          <bgColor rgb="FFFFFF99"/>
        </patternFill>
      </fill>
    </dxf>
    <dxf>
      <fill>
        <patternFill>
          <bgColor theme="9" tint="0.79998168889431442"/>
        </patternFill>
      </fill>
    </dxf>
    <dxf>
      <fill>
        <patternFill>
          <bgColor rgb="FFFFFF99"/>
        </patternFill>
      </fill>
    </dxf>
    <dxf>
      <fill>
        <patternFill>
          <bgColor rgb="FFFFFF99"/>
        </patternFill>
      </fill>
    </dxf>
    <dxf>
      <fill>
        <patternFill>
          <bgColor rgb="FFFFFF99"/>
        </patternFill>
      </fill>
    </dxf>
    <dxf>
      <fill>
        <patternFill>
          <bgColor theme="9" tint="0.79998168889431442"/>
        </patternFill>
      </fill>
    </dxf>
    <dxf>
      <fill>
        <patternFill>
          <bgColor rgb="FFFFFF99"/>
        </patternFill>
      </fill>
    </dxf>
    <dxf>
      <fill>
        <patternFill>
          <bgColor rgb="FFFFFF99"/>
        </patternFill>
      </fill>
    </dxf>
    <dxf>
      <fill>
        <patternFill>
          <bgColor rgb="FFFFFF99"/>
        </patternFill>
      </fill>
    </dxf>
    <dxf>
      <fill>
        <patternFill>
          <bgColor theme="9" tint="0.79998168889431442"/>
        </patternFill>
      </fill>
    </dxf>
    <dxf>
      <fill>
        <patternFill>
          <bgColor rgb="FFFFFF99"/>
        </patternFill>
      </fill>
    </dxf>
    <dxf>
      <fill>
        <patternFill>
          <bgColor rgb="FFFFFF99"/>
        </patternFill>
      </fill>
    </dxf>
    <dxf>
      <fill>
        <patternFill>
          <bgColor rgb="FFFFFF99"/>
        </patternFill>
      </fill>
    </dxf>
    <dxf>
      <fill>
        <patternFill>
          <bgColor theme="9" tint="0.79998168889431442"/>
        </patternFill>
      </fill>
    </dxf>
    <dxf>
      <fill>
        <patternFill>
          <bgColor rgb="FFFFFF99"/>
        </patternFill>
      </fill>
    </dxf>
    <dxf>
      <fill>
        <patternFill>
          <bgColor rgb="FFFFFF99"/>
        </patternFill>
      </fill>
    </dxf>
    <dxf>
      <fill>
        <patternFill>
          <bgColor rgb="FFFFFF99"/>
        </patternFill>
      </fill>
    </dxf>
    <dxf>
      <fill>
        <patternFill>
          <bgColor theme="9" tint="0.79998168889431442"/>
        </patternFill>
      </fill>
    </dxf>
    <dxf>
      <fill>
        <patternFill>
          <bgColor rgb="FFFFFF99"/>
        </patternFill>
      </fill>
    </dxf>
    <dxf>
      <fill>
        <patternFill>
          <bgColor rgb="FFFFFF99"/>
        </patternFill>
      </fill>
    </dxf>
    <dxf>
      <fill>
        <patternFill>
          <bgColor rgb="FFFFFF99"/>
        </patternFill>
      </fill>
    </dxf>
    <dxf>
      <fill>
        <patternFill>
          <bgColor theme="9" tint="0.79998168889431442"/>
        </patternFill>
      </fill>
    </dxf>
    <dxf>
      <fill>
        <patternFill>
          <bgColor rgb="FFFFFF99"/>
        </patternFill>
      </fill>
    </dxf>
    <dxf>
      <fill>
        <patternFill>
          <bgColor rgb="FFFFFF99"/>
        </patternFill>
      </fill>
    </dxf>
    <dxf>
      <fill>
        <patternFill>
          <bgColor rgb="FFFFFF99"/>
        </patternFill>
      </fill>
    </dxf>
    <dxf>
      <fill>
        <patternFill>
          <bgColor theme="9" tint="0.79998168889431442"/>
        </patternFill>
      </fill>
    </dxf>
    <dxf>
      <fill>
        <patternFill>
          <bgColor rgb="FFFFFF99"/>
        </patternFill>
      </fill>
    </dxf>
    <dxf>
      <fill>
        <patternFill>
          <bgColor rgb="FFFFFF99"/>
        </patternFill>
      </fill>
    </dxf>
    <dxf>
      <fill>
        <patternFill>
          <bgColor rgb="FFFFFF99"/>
        </patternFill>
      </fill>
    </dxf>
    <dxf>
      <fill>
        <patternFill>
          <bgColor theme="9" tint="0.79998168889431442"/>
        </patternFill>
      </fill>
    </dxf>
    <dxf>
      <fill>
        <patternFill>
          <bgColor rgb="FFFFFF99"/>
        </patternFill>
      </fill>
    </dxf>
    <dxf>
      <fill>
        <patternFill>
          <bgColor rgb="FFFFFF99"/>
        </patternFill>
      </fill>
    </dxf>
    <dxf>
      <fill>
        <patternFill>
          <bgColor rgb="FFFFFF99"/>
        </patternFill>
      </fill>
    </dxf>
    <dxf>
      <fill>
        <patternFill>
          <bgColor theme="9" tint="0.79998168889431442"/>
        </patternFill>
      </fill>
    </dxf>
    <dxf>
      <fill>
        <patternFill>
          <bgColor rgb="FFFFFF99"/>
        </patternFill>
      </fill>
    </dxf>
    <dxf>
      <fill>
        <patternFill>
          <bgColor rgb="FFFFFF99"/>
        </patternFill>
      </fill>
    </dxf>
    <dxf>
      <fill>
        <patternFill>
          <bgColor rgb="FFFFFF99"/>
        </patternFill>
      </fill>
    </dxf>
    <dxf>
      <fill>
        <patternFill>
          <bgColor theme="9" tint="0.79998168889431442"/>
        </patternFill>
      </fill>
    </dxf>
    <dxf>
      <fill>
        <patternFill>
          <bgColor rgb="FFFFFF99"/>
        </patternFill>
      </fill>
    </dxf>
    <dxf>
      <fill>
        <patternFill>
          <bgColor rgb="FFFFFF99"/>
        </patternFill>
      </fill>
    </dxf>
    <dxf>
      <fill>
        <patternFill>
          <bgColor rgb="FFFFFF99"/>
        </patternFill>
      </fill>
    </dxf>
    <dxf>
      <fill>
        <patternFill>
          <bgColor theme="9" tint="0.79998168889431442"/>
        </patternFill>
      </fill>
    </dxf>
    <dxf>
      <fill>
        <patternFill>
          <bgColor rgb="FFFFFF99"/>
        </patternFill>
      </fill>
    </dxf>
    <dxf>
      <fill>
        <patternFill>
          <bgColor rgb="FFFFFF99"/>
        </patternFill>
      </fill>
    </dxf>
    <dxf>
      <fill>
        <patternFill>
          <bgColor rgb="FFFFFF99"/>
        </patternFill>
      </fill>
    </dxf>
    <dxf>
      <fill>
        <patternFill>
          <bgColor theme="9" tint="0.79998168889431442"/>
        </patternFill>
      </fill>
    </dxf>
    <dxf>
      <fill>
        <patternFill>
          <bgColor rgb="FFFFFF99"/>
        </patternFill>
      </fill>
    </dxf>
    <dxf>
      <fill>
        <patternFill>
          <bgColor rgb="FFFFFF99"/>
        </patternFill>
      </fill>
    </dxf>
    <dxf>
      <fill>
        <patternFill>
          <bgColor rgb="FFFFFF99"/>
        </patternFill>
      </fill>
    </dxf>
    <dxf>
      <fill>
        <patternFill>
          <bgColor theme="9" tint="0.79998168889431442"/>
        </patternFill>
      </fill>
    </dxf>
    <dxf>
      <fill>
        <patternFill>
          <bgColor rgb="FFFFFF99"/>
        </patternFill>
      </fill>
    </dxf>
    <dxf>
      <fill>
        <patternFill>
          <bgColor rgb="FFFFFF99"/>
        </patternFill>
      </fill>
    </dxf>
    <dxf>
      <fill>
        <patternFill>
          <bgColor rgb="FFFFFF99"/>
        </patternFill>
      </fill>
    </dxf>
    <dxf>
      <fill>
        <patternFill>
          <bgColor theme="9" tint="0.79998168889431442"/>
        </patternFill>
      </fill>
    </dxf>
    <dxf>
      <fill>
        <patternFill>
          <bgColor rgb="FFFFFF99"/>
        </patternFill>
      </fill>
    </dxf>
    <dxf>
      <fill>
        <patternFill>
          <bgColor rgb="FFFFFF99"/>
        </patternFill>
      </fill>
    </dxf>
    <dxf>
      <fill>
        <patternFill>
          <bgColor rgb="FFFFFF99"/>
        </patternFill>
      </fill>
    </dxf>
    <dxf>
      <fill>
        <patternFill>
          <bgColor theme="9" tint="0.79998168889431442"/>
        </patternFill>
      </fill>
    </dxf>
    <dxf>
      <fill>
        <patternFill>
          <bgColor rgb="FFFFFF99"/>
        </patternFill>
      </fill>
    </dxf>
    <dxf>
      <fill>
        <patternFill>
          <bgColor rgb="FFFFFF99"/>
        </patternFill>
      </fill>
    </dxf>
    <dxf>
      <fill>
        <patternFill>
          <bgColor rgb="FFFFFF99"/>
        </patternFill>
      </fill>
    </dxf>
    <dxf>
      <fill>
        <patternFill>
          <bgColor theme="9" tint="0.79998168889431442"/>
        </patternFill>
      </fill>
    </dxf>
    <dxf>
      <fill>
        <patternFill>
          <bgColor rgb="FFFFFF99"/>
        </patternFill>
      </fill>
    </dxf>
    <dxf>
      <fill>
        <patternFill>
          <bgColor rgb="FFFFFF99"/>
        </patternFill>
      </fill>
    </dxf>
    <dxf>
      <fill>
        <patternFill>
          <bgColor rgb="FFFFFF99"/>
        </patternFill>
      </fill>
    </dxf>
    <dxf>
      <fill>
        <patternFill>
          <bgColor theme="9" tint="0.79998168889431442"/>
        </patternFill>
      </fill>
    </dxf>
    <dxf>
      <fill>
        <patternFill>
          <bgColor rgb="FFFFFF99"/>
        </patternFill>
      </fill>
    </dxf>
    <dxf>
      <fill>
        <patternFill>
          <bgColor rgb="FFFFFF99"/>
        </patternFill>
      </fill>
    </dxf>
    <dxf>
      <fill>
        <patternFill>
          <bgColor rgb="FFFFFF99"/>
        </patternFill>
      </fill>
    </dxf>
    <dxf>
      <fill>
        <patternFill>
          <bgColor theme="9" tint="0.79998168889431442"/>
        </patternFill>
      </fill>
    </dxf>
    <dxf>
      <fill>
        <patternFill>
          <bgColor rgb="FFFFFF99"/>
        </patternFill>
      </fill>
    </dxf>
    <dxf>
      <fill>
        <patternFill>
          <bgColor rgb="FFFFFF99"/>
        </patternFill>
      </fill>
    </dxf>
    <dxf>
      <fill>
        <patternFill>
          <bgColor rgb="FFFFFF99"/>
        </patternFill>
      </fill>
    </dxf>
    <dxf>
      <fill>
        <patternFill>
          <bgColor theme="9" tint="0.79998168889431442"/>
        </patternFill>
      </fill>
    </dxf>
    <dxf>
      <fill>
        <patternFill>
          <bgColor rgb="FFFFFF99"/>
        </patternFill>
      </fill>
    </dxf>
    <dxf>
      <fill>
        <patternFill>
          <bgColor rgb="FFFFFF99"/>
        </patternFill>
      </fill>
    </dxf>
    <dxf>
      <fill>
        <patternFill>
          <bgColor rgb="FFFFFF99"/>
        </patternFill>
      </fill>
    </dxf>
    <dxf>
      <fill>
        <patternFill>
          <bgColor theme="9" tint="0.79998168889431442"/>
        </patternFill>
      </fill>
    </dxf>
    <dxf>
      <fill>
        <patternFill>
          <bgColor rgb="FFFFFF99"/>
        </patternFill>
      </fill>
    </dxf>
    <dxf>
      <fill>
        <patternFill>
          <bgColor rgb="FFFFFF99"/>
        </patternFill>
      </fill>
    </dxf>
    <dxf>
      <fill>
        <patternFill>
          <bgColor rgb="FFFFFF99"/>
        </patternFill>
      </fill>
    </dxf>
    <dxf>
      <fill>
        <patternFill>
          <bgColor theme="9" tint="0.79998168889431442"/>
        </patternFill>
      </fill>
    </dxf>
    <dxf>
      <fill>
        <patternFill>
          <bgColor rgb="FFFFFF99"/>
        </patternFill>
      </fill>
    </dxf>
    <dxf>
      <fill>
        <patternFill>
          <bgColor rgb="FFFFFF99"/>
        </patternFill>
      </fill>
    </dxf>
    <dxf>
      <fill>
        <patternFill>
          <bgColor rgb="FFFFFF99"/>
        </patternFill>
      </fill>
    </dxf>
    <dxf>
      <fill>
        <patternFill>
          <bgColor theme="9" tint="0.79998168889431442"/>
        </patternFill>
      </fill>
    </dxf>
    <dxf>
      <fill>
        <patternFill>
          <bgColor rgb="FFFF4F4F"/>
        </patternFill>
      </fill>
    </dxf>
    <dxf>
      <fill>
        <patternFill>
          <bgColor rgb="FF92D050"/>
        </patternFill>
      </fill>
    </dxf>
  </dxfs>
  <tableStyles count="0" defaultTableStyle="TableStyleMedium2" defaultPivotStyle="PivotStyleLight16"/>
  <colors>
    <mruColors>
      <color rgb="FFFF5757"/>
      <color rgb="FFFF4F4F"/>
      <color rgb="FFFFFF99"/>
      <color rgb="FFFF66CC"/>
      <color rgb="FFFF292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xdr:from>
      <xdr:col>1</xdr:col>
      <xdr:colOff>27517</xdr:colOff>
      <xdr:row>1</xdr:row>
      <xdr:rowOff>71574</xdr:rowOff>
    </xdr:from>
    <xdr:to>
      <xdr:col>2</xdr:col>
      <xdr:colOff>195580</xdr:colOff>
      <xdr:row>1</xdr:row>
      <xdr:rowOff>467573</xdr:rowOff>
    </xdr:to>
    <xdr:pic>
      <xdr:nvPicPr>
        <xdr:cNvPr id="5" name="Picture 4">
          <a:extLst>
            <a:ext uri="{FF2B5EF4-FFF2-40B4-BE49-F238E27FC236}">
              <a16:creationId xmlns:a16="http://schemas.microsoft.com/office/drawing/2014/main" id="{5AA044A6-22AA-4AD7-B3BD-9DE9932378C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3517" y="230324"/>
          <a:ext cx="411480" cy="395999"/>
        </a:xfrm>
        <a:prstGeom prst="rect">
          <a:avLst/>
        </a:prstGeom>
      </xdr:spPr>
    </xdr:pic>
    <xdr:clientData/>
  </xdr:twoCellAnchor>
  <xdr:twoCellAnchor>
    <xdr:from>
      <xdr:col>5</xdr:col>
      <xdr:colOff>42333</xdr:colOff>
      <xdr:row>1</xdr:row>
      <xdr:rowOff>56093</xdr:rowOff>
    </xdr:from>
    <xdr:to>
      <xdr:col>6</xdr:col>
      <xdr:colOff>210397</xdr:colOff>
      <xdr:row>1</xdr:row>
      <xdr:rowOff>467573</xdr:rowOff>
    </xdr:to>
    <xdr:pic>
      <xdr:nvPicPr>
        <xdr:cNvPr id="7" name="Picture 6">
          <a:extLst>
            <a:ext uri="{FF2B5EF4-FFF2-40B4-BE49-F238E27FC236}">
              <a16:creationId xmlns:a16="http://schemas.microsoft.com/office/drawing/2014/main" id="{6F62B981-2631-448F-BAFB-D87B75CB1D1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788583" y="214843"/>
          <a:ext cx="411481" cy="411480"/>
        </a:xfrm>
        <a:prstGeom prst="rect">
          <a:avLst/>
        </a:prstGeom>
      </xdr:spPr>
    </xdr:pic>
    <xdr:clientData/>
  </xdr:twoCellAnchor>
  <xdr:twoCellAnchor editAs="oneCell">
    <xdr:from>
      <xdr:col>9</xdr:col>
      <xdr:colOff>35983</xdr:colOff>
      <xdr:row>1</xdr:row>
      <xdr:rowOff>56093</xdr:rowOff>
    </xdr:from>
    <xdr:to>
      <xdr:col>10</xdr:col>
      <xdr:colOff>204047</xdr:colOff>
      <xdr:row>1</xdr:row>
      <xdr:rowOff>467573</xdr:rowOff>
    </xdr:to>
    <xdr:pic>
      <xdr:nvPicPr>
        <xdr:cNvPr id="9" name="Picture 8">
          <a:extLst>
            <a:ext uri="{FF2B5EF4-FFF2-40B4-BE49-F238E27FC236}">
              <a16:creationId xmlns:a16="http://schemas.microsoft.com/office/drawing/2014/main" id="{ACBDD170-8B61-4FD5-B1E1-545F552EBB17}"/>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999316" y="214843"/>
          <a:ext cx="411480" cy="411480"/>
        </a:xfrm>
        <a:prstGeom prst="rect">
          <a:avLst/>
        </a:prstGeom>
      </xdr:spPr>
    </xdr:pic>
    <xdr:clientData/>
  </xdr:twoCellAnchor>
  <xdr:twoCellAnchor editAs="oneCell">
    <xdr:from>
      <xdr:col>13</xdr:col>
      <xdr:colOff>47625</xdr:colOff>
      <xdr:row>1</xdr:row>
      <xdr:rowOff>56093</xdr:rowOff>
    </xdr:from>
    <xdr:to>
      <xdr:col>14</xdr:col>
      <xdr:colOff>215688</xdr:colOff>
      <xdr:row>1</xdr:row>
      <xdr:rowOff>467573</xdr:rowOff>
    </xdr:to>
    <xdr:pic>
      <xdr:nvPicPr>
        <xdr:cNvPr id="11" name="Picture 10">
          <a:extLst>
            <a:ext uri="{FF2B5EF4-FFF2-40B4-BE49-F238E27FC236}">
              <a16:creationId xmlns:a16="http://schemas.microsoft.com/office/drawing/2014/main" id="{0FBEEDB2-7A52-485F-BB5E-CBA5FDD7FBB6}"/>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984625" y="214843"/>
          <a:ext cx="411480" cy="411480"/>
        </a:xfrm>
        <a:prstGeom prst="rect">
          <a:avLst/>
        </a:prstGeom>
      </xdr:spPr>
    </xdr:pic>
    <xdr:clientData/>
  </xdr:twoCellAnchor>
  <xdr:twoCellAnchor editAs="oneCell">
    <xdr:from>
      <xdr:col>17</xdr:col>
      <xdr:colOff>35982</xdr:colOff>
      <xdr:row>1</xdr:row>
      <xdr:rowOff>56093</xdr:rowOff>
    </xdr:from>
    <xdr:to>
      <xdr:col>18</xdr:col>
      <xdr:colOff>204045</xdr:colOff>
      <xdr:row>1</xdr:row>
      <xdr:rowOff>467573</xdr:rowOff>
    </xdr:to>
    <xdr:pic>
      <xdr:nvPicPr>
        <xdr:cNvPr id="13" name="Picture 12">
          <a:extLst>
            <a:ext uri="{FF2B5EF4-FFF2-40B4-BE49-F238E27FC236}">
              <a16:creationId xmlns:a16="http://schemas.microsoft.com/office/drawing/2014/main" id="{292F616C-D8E6-421A-8414-0A379607FEDE}"/>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4946649" y="214843"/>
          <a:ext cx="411480" cy="411480"/>
        </a:xfrm>
        <a:prstGeom prst="rect">
          <a:avLst/>
        </a:prstGeom>
      </xdr:spPr>
    </xdr:pic>
    <xdr:clientData/>
  </xdr:twoCellAnchor>
  <xdr:twoCellAnchor editAs="oneCell">
    <xdr:from>
      <xdr:col>21</xdr:col>
      <xdr:colOff>38100</xdr:colOff>
      <xdr:row>1</xdr:row>
      <xdr:rowOff>56093</xdr:rowOff>
    </xdr:from>
    <xdr:to>
      <xdr:col>22</xdr:col>
      <xdr:colOff>206164</xdr:colOff>
      <xdr:row>1</xdr:row>
      <xdr:rowOff>467573</xdr:rowOff>
    </xdr:to>
    <xdr:pic>
      <xdr:nvPicPr>
        <xdr:cNvPr id="15" name="Picture 14">
          <a:extLst>
            <a:ext uri="{FF2B5EF4-FFF2-40B4-BE49-F238E27FC236}">
              <a16:creationId xmlns:a16="http://schemas.microsoft.com/office/drawing/2014/main" id="{12A7D8DF-91CE-4C89-BF45-26541CE9CCF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922433" y="214843"/>
          <a:ext cx="411480" cy="411480"/>
        </a:xfrm>
        <a:prstGeom prst="rect">
          <a:avLst/>
        </a:prstGeom>
      </xdr:spPr>
    </xdr:pic>
    <xdr:clientData/>
  </xdr:twoCellAnchor>
  <xdr:twoCellAnchor editAs="oneCell">
    <xdr:from>
      <xdr:col>25</xdr:col>
      <xdr:colOff>37041</xdr:colOff>
      <xdr:row>1</xdr:row>
      <xdr:rowOff>56093</xdr:rowOff>
    </xdr:from>
    <xdr:to>
      <xdr:col>26</xdr:col>
      <xdr:colOff>205104</xdr:colOff>
      <xdr:row>1</xdr:row>
      <xdr:rowOff>467573</xdr:rowOff>
    </xdr:to>
    <xdr:pic>
      <xdr:nvPicPr>
        <xdr:cNvPr id="17" name="Picture 16">
          <a:extLst>
            <a:ext uri="{FF2B5EF4-FFF2-40B4-BE49-F238E27FC236}">
              <a16:creationId xmlns:a16="http://schemas.microsoft.com/office/drawing/2014/main" id="{7045F4F7-1BC1-4D2C-B183-D444EF42543B}"/>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6895041" y="214843"/>
          <a:ext cx="411480" cy="411480"/>
        </a:xfrm>
        <a:prstGeom prst="rect">
          <a:avLst/>
        </a:prstGeom>
      </xdr:spPr>
    </xdr:pic>
    <xdr:clientData/>
  </xdr:twoCellAnchor>
  <xdr:twoCellAnchor editAs="oneCell">
    <xdr:from>
      <xdr:col>29</xdr:col>
      <xdr:colOff>41274</xdr:colOff>
      <xdr:row>1</xdr:row>
      <xdr:rowOff>56093</xdr:rowOff>
    </xdr:from>
    <xdr:to>
      <xdr:col>30</xdr:col>
      <xdr:colOff>209337</xdr:colOff>
      <xdr:row>1</xdr:row>
      <xdr:rowOff>467573</xdr:rowOff>
    </xdr:to>
    <xdr:pic>
      <xdr:nvPicPr>
        <xdr:cNvPr id="19" name="Picture 18">
          <a:extLst>
            <a:ext uri="{FF2B5EF4-FFF2-40B4-BE49-F238E27FC236}">
              <a16:creationId xmlns:a16="http://schemas.microsoft.com/office/drawing/2014/main" id="{D2D3EE08-028F-40AF-B5B2-D880C4E5F7A8}"/>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7872941" y="214843"/>
          <a:ext cx="411480" cy="411480"/>
        </a:xfrm>
        <a:prstGeom prst="rect">
          <a:avLst/>
        </a:prstGeom>
      </xdr:spPr>
    </xdr:pic>
    <xdr:clientData/>
  </xdr:twoCellAnchor>
  <xdr:twoCellAnchor editAs="oneCell">
    <xdr:from>
      <xdr:col>33</xdr:col>
      <xdr:colOff>37042</xdr:colOff>
      <xdr:row>1</xdr:row>
      <xdr:rowOff>56093</xdr:rowOff>
    </xdr:from>
    <xdr:to>
      <xdr:col>34</xdr:col>
      <xdr:colOff>205106</xdr:colOff>
      <xdr:row>1</xdr:row>
      <xdr:rowOff>467573</xdr:rowOff>
    </xdr:to>
    <xdr:pic>
      <xdr:nvPicPr>
        <xdr:cNvPr id="21" name="Picture 20">
          <a:extLst>
            <a:ext uri="{FF2B5EF4-FFF2-40B4-BE49-F238E27FC236}">
              <a16:creationId xmlns:a16="http://schemas.microsoft.com/office/drawing/2014/main" id="{B7824E4E-98B9-4D21-9617-8E2C12FB631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8842375" y="214843"/>
          <a:ext cx="411480" cy="411480"/>
        </a:xfrm>
        <a:prstGeom prst="rect">
          <a:avLst/>
        </a:prstGeom>
      </xdr:spPr>
    </xdr:pic>
    <xdr:clientData/>
  </xdr:twoCellAnchor>
  <xdr:twoCellAnchor editAs="oneCell">
    <xdr:from>
      <xdr:col>37</xdr:col>
      <xdr:colOff>47625</xdr:colOff>
      <xdr:row>1</xdr:row>
      <xdr:rowOff>56093</xdr:rowOff>
    </xdr:from>
    <xdr:to>
      <xdr:col>38</xdr:col>
      <xdr:colOff>215688</xdr:colOff>
      <xdr:row>1</xdr:row>
      <xdr:rowOff>467573</xdr:rowOff>
    </xdr:to>
    <xdr:pic>
      <xdr:nvPicPr>
        <xdr:cNvPr id="23" name="Picture 22">
          <a:extLst>
            <a:ext uri="{FF2B5EF4-FFF2-40B4-BE49-F238E27FC236}">
              <a16:creationId xmlns:a16="http://schemas.microsoft.com/office/drawing/2014/main" id="{CBC343EB-399F-4FAB-BA27-4997F2461D9A}"/>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9826625" y="214843"/>
          <a:ext cx="411480" cy="411480"/>
        </a:xfrm>
        <a:prstGeom prst="rect">
          <a:avLst/>
        </a:prstGeom>
      </xdr:spPr>
    </xdr:pic>
    <xdr:clientData/>
  </xdr:twoCellAnchor>
  <xdr:twoCellAnchor editAs="oneCell">
    <xdr:from>
      <xdr:col>41</xdr:col>
      <xdr:colOff>37042</xdr:colOff>
      <xdr:row>1</xdr:row>
      <xdr:rowOff>56093</xdr:rowOff>
    </xdr:from>
    <xdr:to>
      <xdr:col>42</xdr:col>
      <xdr:colOff>205105</xdr:colOff>
      <xdr:row>1</xdr:row>
      <xdr:rowOff>467573</xdr:rowOff>
    </xdr:to>
    <xdr:pic>
      <xdr:nvPicPr>
        <xdr:cNvPr id="25" name="Picture 24">
          <a:extLst>
            <a:ext uri="{FF2B5EF4-FFF2-40B4-BE49-F238E27FC236}">
              <a16:creationId xmlns:a16="http://schemas.microsoft.com/office/drawing/2014/main" id="{2EA91008-93C3-4695-AAF5-6A857A512201}"/>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0789709" y="214843"/>
          <a:ext cx="411480" cy="411480"/>
        </a:xfrm>
        <a:prstGeom prst="rect">
          <a:avLst/>
        </a:prstGeom>
      </xdr:spPr>
    </xdr:pic>
    <xdr:clientData/>
  </xdr:twoCellAnchor>
  <xdr:twoCellAnchor editAs="oneCell">
    <xdr:from>
      <xdr:col>45</xdr:col>
      <xdr:colOff>37043</xdr:colOff>
      <xdr:row>1</xdr:row>
      <xdr:rowOff>56093</xdr:rowOff>
    </xdr:from>
    <xdr:to>
      <xdr:col>46</xdr:col>
      <xdr:colOff>205107</xdr:colOff>
      <xdr:row>1</xdr:row>
      <xdr:rowOff>467573</xdr:rowOff>
    </xdr:to>
    <xdr:pic>
      <xdr:nvPicPr>
        <xdr:cNvPr id="27" name="Picture 26">
          <a:extLst>
            <a:ext uri="{FF2B5EF4-FFF2-40B4-BE49-F238E27FC236}">
              <a16:creationId xmlns:a16="http://schemas.microsoft.com/office/drawing/2014/main" id="{A30AD619-9B6D-464B-A52F-8E24DDE17630}"/>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11763376" y="214843"/>
          <a:ext cx="411480" cy="411480"/>
        </a:xfrm>
        <a:prstGeom prst="rect">
          <a:avLst/>
        </a:prstGeom>
      </xdr:spPr>
    </xdr:pic>
    <xdr:clientData/>
  </xdr:twoCellAnchor>
  <xdr:twoCellAnchor editAs="oneCell">
    <xdr:from>
      <xdr:col>49</xdr:col>
      <xdr:colOff>48683</xdr:colOff>
      <xdr:row>1</xdr:row>
      <xdr:rowOff>56093</xdr:rowOff>
    </xdr:from>
    <xdr:to>
      <xdr:col>50</xdr:col>
      <xdr:colOff>216746</xdr:colOff>
      <xdr:row>1</xdr:row>
      <xdr:rowOff>467573</xdr:rowOff>
    </xdr:to>
    <xdr:pic>
      <xdr:nvPicPr>
        <xdr:cNvPr id="29" name="Picture 28">
          <a:extLst>
            <a:ext uri="{FF2B5EF4-FFF2-40B4-BE49-F238E27FC236}">
              <a16:creationId xmlns:a16="http://schemas.microsoft.com/office/drawing/2014/main" id="{31AB016F-B3D5-4410-B6E4-C67709CBEA9D}"/>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2748683" y="214843"/>
          <a:ext cx="411480" cy="41148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apps.itd.idaho.gov/apps/dmv-links/Instructions_Legal_Weight_Calculator.pdf"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Z88"/>
  <sheetViews>
    <sheetView showGridLines="0" tabSelected="1" zoomScale="90" zoomScaleNormal="90" workbookViewId="0">
      <selection activeCell="D2" sqref="D2"/>
    </sheetView>
  </sheetViews>
  <sheetFormatPr defaultRowHeight="12.75" x14ac:dyDescent="0.2"/>
  <cols>
    <col min="1" max="1" width="11.5703125" style="14" customWidth="1"/>
    <col min="2" max="3" width="3.5703125" style="14" customWidth="1"/>
    <col min="4" max="5" width="3.7109375" style="14" customWidth="1"/>
    <col min="6" max="7" width="3.5703125" style="14" customWidth="1"/>
    <col min="8" max="9" width="3.7109375" style="14" customWidth="1"/>
    <col min="10" max="11" width="3.5703125" style="14" customWidth="1"/>
    <col min="12" max="13" width="3.7109375" style="14" customWidth="1"/>
    <col min="14" max="15" width="3.5703125" style="14" customWidth="1"/>
    <col min="16" max="17" width="3.7109375" style="14" customWidth="1"/>
    <col min="18" max="19" width="3.5703125" style="14" customWidth="1"/>
    <col min="20" max="21" width="3.7109375" style="14" customWidth="1"/>
    <col min="22" max="23" width="3.5703125" style="14" customWidth="1"/>
    <col min="24" max="25" width="3.7109375" style="14" customWidth="1"/>
    <col min="26" max="27" width="3.5703125" style="14" customWidth="1"/>
    <col min="28" max="29" width="3.7109375" style="14" customWidth="1"/>
    <col min="30" max="31" width="3.5703125" style="14" customWidth="1"/>
    <col min="32" max="33" width="3.7109375" style="14" customWidth="1"/>
    <col min="34" max="35" width="3.5703125" style="14" customWidth="1"/>
    <col min="36" max="37" width="3.7109375" style="14" customWidth="1"/>
    <col min="38" max="39" width="3.5703125" style="14" customWidth="1"/>
    <col min="40" max="41" width="3.7109375" style="14" customWidth="1"/>
    <col min="42" max="43" width="3.5703125" style="14" customWidth="1"/>
    <col min="44" max="45" width="3.7109375" style="14" customWidth="1"/>
    <col min="46" max="47" width="3.5703125" style="14" customWidth="1"/>
    <col min="48" max="49" width="3.7109375" style="14" customWidth="1"/>
    <col min="50" max="52" width="3.5703125" style="14" customWidth="1"/>
    <col min="53" max="16384" width="9.140625" style="14"/>
  </cols>
  <sheetData>
    <row r="1" spans="1:52" x14ac:dyDescent="0.2">
      <c r="A1" s="28"/>
      <c r="B1" s="29"/>
      <c r="C1" s="29"/>
      <c r="D1" s="29" t="s">
        <v>0</v>
      </c>
      <c r="E1" s="29" t="s">
        <v>1</v>
      </c>
      <c r="F1" s="29"/>
      <c r="G1" s="29"/>
      <c r="H1" s="29" t="s">
        <v>0</v>
      </c>
      <c r="I1" s="29" t="s">
        <v>1</v>
      </c>
      <c r="J1" s="29"/>
      <c r="K1" s="29"/>
      <c r="L1" s="29" t="s">
        <v>0</v>
      </c>
      <c r="M1" s="29" t="s">
        <v>1</v>
      </c>
      <c r="N1" s="29"/>
      <c r="O1" s="29"/>
      <c r="P1" s="29" t="s">
        <v>0</v>
      </c>
      <c r="Q1" s="29" t="s">
        <v>1</v>
      </c>
      <c r="R1" s="29"/>
      <c r="S1" s="29"/>
      <c r="T1" s="29" t="s">
        <v>0</v>
      </c>
      <c r="U1" s="29" t="s">
        <v>1</v>
      </c>
      <c r="V1" s="29"/>
      <c r="W1" s="29"/>
      <c r="X1" s="29" t="s">
        <v>0</v>
      </c>
      <c r="Y1" s="29" t="s">
        <v>1</v>
      </c>
      <c r="Z1" s="29"/>
      <c r="AA1" s="29"/>
      <c r="AB1" s="29" t="s">
        <v>0</v>
      </c>
      <c r="AC1" s="29" t="s">
        <v>1</v>
      </c>
      <c r="AD1" s="29"/>
      <c r="AE1" s="29"/>
      <c r="AF1" s="29" t="s">
        <v>0</v>
      </c>
      <c r="AG1" s="29" t="s">
        <v>1</v>
      </c>
      <c r="AH1" s="29"/>
      <c r="AI1" s="29"/>
      <c r="AJ1" s="29" t="s">
        <v>0</v>
      </c>
      <c r="AK1" s="29" t="s">
        <v>1</v>
      </c>
      <c r="AL1" s="29"/>
      <c r="AM1" s="29"/>
      <c r="AN1" s="29" t="s">
        <v>0</v>
      </c>
      <c r="AO1" s="29" t="s">
        <v>1</v>
      </c>
      <c r="AP1" s="29"/>
      <c r="AQ1" s="29"/>
      <c r="AR1" s="29" t="s">
        <v>0</v>
      </c>
      <c r="AS1" s="29" t="s">
        <v>1</v>
      </c>
      <c r="AT1" s="29"/>
      <c r="AU1" s="29"/>
      <c r="AV1" s="29" t="s">
        <v>0</v>
      </c>
      <c r="AW1" s="29" t="s">
        <v>1</v>
      </c>
      <c r="AX1" s="29"/>
      <c r="AY1" s="29"/>
      <c r="AZ1" s="27"/>
    </row>
    <row r="2" spans="1:52" ht="39.75" customHeight="1" x14ac:dyDescent="0.2">
      <c r="A2" s="30" t="s">
        <v>117</v>
      </c>
      <c r="B2" s="82"/>
      <c r="C2" s="83"/>
      <c r="D2" s="26"/>
      <c r="E2" s="26"/>
      <c r="F2" s="82"/>
      <c r="G2" s="83"/>
      <c r="H2" s="26"/>
      <c r="I2" s="26"/>
      <c r="J2" s="82"/>
      <c r="K2" s="83"/>
      <c r="L2" s="26"/>
      <c r="M2" s="26"/>
      <c r="N2" s="82"/>
      <c r="O2" s="83"/>
      <c r="P2" s="26"/>
      <c r="Q2" s="26"/>
      <c r="R2" s="82"/>
      <c r="S2" s="83"/>
      <c r="T2" s="26"/>
      <c r="U2" s="26"/>
      <c r="V2" s="82"/>
      <c r="W2" s="83"/>
      <c r="X2" s="26"/>
      <c r="Y2" s="26"/>
      <c r="Z2" s="82"/>
      <c r="AA2" s="83"/>
      <c r="AB2" s="26"/>
      <c r="AC2" s="26"/>
      <c r="AD2" s="82"/>
      <c r="AE2" s="83"/>
      <c r="AF2" s="26"/>
      <c r="AG2" s="26"/>
      <c r="AH2" s="82"/>
      <c r="AI2" s="83"/>
      <c r="AJ2" s="26"/>
      <c r="AK2" s="26"/>
      <c r="AL2" s="82"/>
      <c r="AM2" s="83"/>
      <c r="AN2" s="26"/>
      <c r="AO2" s="26"/>
      <c r="AP2" s="82"/>
      <c r="AQ2" s="83"/>
      <c r="AR2" s="26"/>
      <c r="AS2" s="26"/>
      <c r="AT2" s="82"/>
      <c r="AU2" s="83"/>
      <c r="AV2" s="26"/>
      <c r="AW2" s="26"/>
      <c r="AX2" s="82"/>
      <c r="AY2" s="82"/>
      <c r="AZ2" s="27"/>
    </row>
    <row r="3" spans="1:52" ht="17.25" customHeight="1" x14ac:dyDescent="0.25">
      <c r="A3" s="31" t="s">
        <v>118</v>
      </c>
      <c r="B3" s="80"/>
      <c r="C3" s="81"/>
      <c r="D3" s="32"/>
      <c r="E3" s="32"/>
      <c r="F3" s="80"/>
      <c r="G3" s="81"/>
      <c r="H3" s="32"/>
      <c r="I3" s="32"/>
      <c r="J3" s="80"/>
      <c r="K3" s="81"/>
      <c r="L3" s="32"/>
      <c r="M3" s="32"/>
      <c r="N3" s="80"/>
      <c r="O3" s="81"/>
      <c r="P3" s="32"/>
      <c r="Q3" s="32"/>
      <c r="R3" s="80"/>
      <c r="S3" s="81"/>
      <c r="T3" s="32"/>
      <c r="U3" s="32"/>
      <c r="V3" s="80"/>
      <c r="W3" s="81"/>
      <c r="X3" s="32"/>
      <c r="Y3" s="32"/>
      <c r="Z3" s="80"/>
      <c r="AA3" s="81"/>
      <c r="AB3" s="32"/>
      <c r="AC3" s="32"/>
      <c r="AD3" s="80"/>
      <c r="AE3" s="81"/>
      <c r="AF3" s="32"/>
      <c r="AG3" s="32"/>
      <c r="AH3" s="80"/>
      <c r="AI3" s="81"/>
      <c r="AJ3" s="32"/>
      <c r="AK3" s="32"/>
      <c r="AL3" s="80"/>
      <c r="AM3" s="81"/>
      <c r="AN3" s="32"/>
      <c r="AO3" s="32"/>
      <c r="AP3" s="80"/>
      <c r="AQ3" s="81"/>
      <c r="AR3" s="32"/>
      <c r="AS3" s="32"/>
      <c r="AT3" s="80"/>
      <c r="AU3" s="81"/>
      <c r="AV3" s="32"/>
      <c r="AW3" s="32"/>
      <c r="AX3" s="80"/>
      <c r="AY3" s="81"/>
      <c r="AZ3" s="27"/>
    </row>
    <row r="4" spans="1:52" x14ac:dyDescent="0.2">
      <c r="A4" s="38"/>
      <c r="B4" s="27"/>
      <c r="C4" s="27"/>
      <c r="D4" s="27"/>
      <c r="E4" s="27"/>
      <c r="F4" s="27"/>
      <c r="G4" s="27"/>
      <c r="H4" s="27"/>
      <c r="I4" s="27"/>
      <c r="J4" s="27"/>
      <c r="K4" s="27"/>
      <c r="L4" s="27"/>
      <c r="M4" s="27"/>
      <c r="N4" s="27"/>
      <c r="O4" s="27"/>
      <c r="P4" s="27"/>
      <c r="Q4" s="27"/>
      <c r="R4" s="27"/>
      <c r="S4" s="27"/>
      <c r="T4" s="27"/>
      <c r="U4" s="27"/>
      <c r="V4" s="27"/>
      <c r="W4" s="27"/>
      <c r="X4" s="27"/>
      <c r="Y4" s="27"/>
      <c r="Z4" s="27"/>
      <c r="AA4" s="27"/>
      <c r="AB4" s="27"/>
      <c r="AC4" s="27"/>
      <c r="AD4" s="27"/>
      <c r="AE4" s="27"/>
      <c r="AF4" s="27"/>
      <c r="AG4" s="27"/>
      <c r="AH4" s="27"/>
      <c r="AI4" s="27"/>
      <c r="AJ4" s="27"/>
      <c r="AK4" s="27"/>
      <c r="AL4" s="27"/>
      <c r="AM4" s="27"/>
      <c r="AN4" s="27"/>
      <c r="AO4" s="27"/>
      <c r="AP4" s="27"/>
      <c r="AQ4" s="27"/>
      <c r="AR4" s="27"/>
      <c r="AS4" s="27"/>
      <c r="AT4" s="27"/>
      <c r="AU4" s="27"/>
      <c r="AV4" s="27"/>
      <c r="AW4" s="27"/>
      <c r="AX4" s="27"/>
      <c r="AY4" s="27"/>
      <c r="AZ4" s="27"/>
    </row>
    <row r="5" spans="1:52" x14ac:dyDescent="0.2">
      <c r="A5" s="27"/>
      <c r="B5" s="27"/>
      <c r="C5" s="27"/>
      <c r="D5" s="27"/>
      <c r="E5" s="27"/>
      <c r="F5" s="27"/>
      <c r="G5" s="27"/>
      <c r="H5" s="27"/>
      <c r="I5" s="27"/>
      <c r="J5" s="27"/>
      <c r="K5" s="27"/>
      <c r="L5" s="27"/>
      <c r="M5" s="27"/>
      <c r="N5" s="27"/>
      <c r="O5" s="27"/>
      <c r="P5" s="27"/>
      <c r="Q5" s="27"/>
      <c r="R5" s="27"/>
      <c r="S5" s="27"/>
      <c r="T5" s="27"/>
      <c r="U5" s="27"/>
      <c r="V5" s="27"/>
      <c r="W5" s="27"/>
      <c r="X5" s="27"/>
      <c r="Y5" s="27"/>
      <c r="Z5" s="27"/>
      <c r="AA5" s="39"/>
      <c r="AB5" s="27"/>
      <c r="AC5" s="27"/>
      <c r="AD5" s="27"/>
      <c r="AE5" s="27"/>
      <c r="AF5" s="27"/>
      <c r="AG5" s="27"/>
      <c r="AH5" s="27"/>
      <c r="AI5" s="27"/>
      <c r="AJ5" s="27"/>
      <c r="AK5" s="27"/>
      <c r="AL5" s="27"/>
      <c r="AM5" s="27"/>
      <c r="AN5" s="27"/>
      <c r="AO5" s="27"/>
      <c r="AP5" s="27"/>
      <c r="AQ5" s="27"/>
      <c r="AR5" s="27"/>
      <c r="AS5" s="27"/>
      <c r="AT5" s="27"/>
      <c r="AU5" s="27"/>
      <c r="AV5" s="27"/>
      <c r="AW5" s="27"/>
      <c r="AX5" s="27"/>
      <c r="AY5" s="27"/>
    </row>
    <row r="6" spans="1:52" ht="26.25" customHeight="1" x14ac:dyDescent="0.2">
      <c r="B6" s="77" t="s">
        <v>119</v>
      </c>
      <c r="C6" s="78"/>
      <c r="D6" s="79"/>
      <c r="E6" s="77" t="s">
        <v>110</v>
      </c>
      <c r="F6" s="78"/>
      <c r="G6" s="79"/>
      <c r="H6" s="77" t="s">
        <v>111</v>
      </c>
      <c r="I6" s="78"/>
      <c r="J6" s="79"/>
      <c r="K6" s="77" t="s">
        <v>94</v>
      </c>
      <c r="L6" s="78"/>
      <c r="M6" s="79"/>
      <c r="N6" s="77" t="s">
        <v>112</v>
      </c>
      <c r="O6" s="78"/>
      <c r="P6" s="78"/>
      <c r="Q6" s="79"/>
      <c r="R6" s="77" t="s">
        <v>150</v>
      </c>
      <c r="S6" s="78"/>
      <c r="T6" s="78"/>
      <c r="U6" s="79"/>
      <c r="V6" s="18"/>
      <c r="W6" s="18"/>
      <c r="X6" s="18"/>
      <c r="Y6" s="18"/>
      <c r="Z6" s="18"/>
      <c r="AA6" s="18"/>
      <c r="AB6" s="57" t="s">
        <v>141</v>
      </c>
      <c r="AC6" s="58"/>
      <c r="AD6" s="58"/>
      <c r="AE6" s="58"/>
      <c r="AF6" s="58"/>
      <c r="AG6" s="55" t="str">
        <f>IFERROR(Data!I10,"")</f>
        <v>0 lbs.</v>
      </c>
      <c r="AH6" s="55"/>
      <c r="AI6" s="55"/>
      <c r="AJ6" s="58" t="s">
        <v>142</v>
      </c>
      <c r="AK6" s="58"/>
      <c r="AL6" s="58"/>
      <c r="AM6" s="58"/>
      <c r="AN6" s="58"/>
      <c r="AO6" s="55">
        <f>IFERROR(Data!I2,"")</f>
        <v>0</v>
      </c>
      <c r="AP6" s="55"/>
      <c r="AQ6" s="55"/>
      <c r="AR6" s="58" t="s">
        <v>151</v>
      </c>
      <c r="AS6" s="58"/>
      <c r="AT6" s="58"/>
      <c r="AU6" s="58"/>
      <c r="AV6" s="58"/>
      <c r="AW6" s="55" t="str">
        <f>IFERROR(Data!I6,"")</f>
        <v>0' 0"</v>
      </c>
      <c r="AX6" s="55"/>
      <c r="AY6" s="56"/>
      <c r="AZ6" s="18"/>
    </row>
    <row r="7" spans="1:52" ht="12.75" customHeight="1" x14ac:dyDescent="0.2">
      <c r="A7" s="16" t="s">
        <v>10</v>
      </c>
      <c r="B7" s="74" t="str">
        <f>IFERROR(Data!B17,"")</f>
        <v/>
      </c>
      <c r="C7" s="75"/>
      <c r="D7" s="76"/>
      <c r="E7" s="74" t="str">
        <f>IFERROR(Data!I17,"")</f>
        <v/>
      </c>
      <c r="F7" s="75"/>
      <c r="G7" s="76"/>
      <c r="H7" s="74" t="str">
        <f>IFERROR(Data!H17,"")</f>
        <v/>
      </c>
      <c r="I7" s="75"/>
      <c r="J7" s="76"/>
      <c r="K7" s="59" t="str">
        <f>IFERROR(Data!P17,"")</f>
        <v/>
      </c>
      <c r="L7" s="75"/>
      <c r="M7" s="76"/>
      <c r="N7" s="59" t="str">
        <f>IFERROR(Data!Q17,"")</f>
        <v/>
      </c>
      <c r="O7" s="60"/>
      <c r="P7" s="60"/>
      <c r="Q7" s="61"/>
      <c r="R7" s="62" t="str">
        <f>IFERROR(Data!U17,"")</f>
        <v/>
      </c>
      <c r="S7" s="63"/>
      <c r="T7" s="63"/>
      <c r="U7" s="64"/>
      <c r="V7" s="18"/>
      <c r="W7" s="18"/>
      <c r="X7" s="18"/>
      <c r="Y7" s="18"/>
      <c r="Z7" s="18"/>
      <c r="AA7" s="18"/>
      <c r="AB7" s="65" t="str">
        <f>IF('Input Error Detection'!C37&gt;0,IF(AND('Input Error Detection'!C35&gt;0,'Input Error Detection'!C36&gt;0),CONCATENATE('Input Error Detection'!D35&amp;CHAR(10),'Input Error Detection'!D36),IF('Input Error Detection'!C35&gt;0,'Input Error Detection'!D35,IF('Input Error Detection'!C36&gt;0,'Input Error Detection'!D36))),IF(Data!S95&gt;0, IF('Input Error Detection'!C39&gt;0,CONCATENATE("Weights exceed the allowable limit."&amp;CHAR(10),'Input Error Detection'!D39),"Weights exceed the allowable limit."),"Weights fall within the allowable limit."))</f>
        <v>Weights fall within the allowable limit.</v>
      </c>
      <c r="AC7" s="66"/>
      <c r="AD7" s="66"/>
      <c r="AE7" s="66"/>
      <c r="AF7" s="66"/>
      <c r="AG7" s="66"/>
      <c r="AH7" s="66"/>
      <c r="AI7" s="66"/>
      <c r="AJ7" s="66"/>
      <c r="AK7" s="66"/>
      <c r="AL7" s="66"/>
      <c r="AM7" s="66"/>
      <c r="AN7" s="66"/>
      <c r="AO7" s="66"/>
      <c r="AP7" s="66"/>
      <c r="AQ7" s="66"/>
      <c r="AR7" s="66"/>
      <c r="AS7" s="66"/>
      <c r="AT7" s="66"/>
      <c r="AU7" s="66"/>
      <c r="AV7" s="66"/>
      <c r="AW7" s="66"/>
      <c r="AX7" s="66"/>
      <c r="AY7" s="67"/>
      <c r="AZ7" s="18"/>
    </row>
    <row r="8" spans="1:52" ht="12.75" customHeight="1" x14ac:dyDescent="0.2">
      <c r="A8" s="16" t="s">
        <v>11</v>
      </c>
      <c r="B8" s="74" t="str">
        <f>IFERROR(Data!B18,"")</f>
        <v/>
      </c>
      <c r="C8" s="75"/>
      <c r="D8" s="76"/>
      <c r="E8" s="74" t="str">
        <f>IFERROR(Data!I18,"")</f>
        <v/>
      </c>
      <c r="F8" s="75"/>
      <c r="G8" s="76"/>
      <c r="H8" s="74" t="str">
        <f>IFERROR(Data!H18,"")</f>
        <v/>
      </c>
      <c r="I8" s="75"/>
      <c r="J8" s="76"/>
      <c r="K8" s="59" t="str">
        <f>IFERROR(Data!P18,"")</f>
        <v/>
      </c>
      <c r="L8" s="75"/>
      <c r="M8" s="76"/>
      <c r="N8" s="59" t="str">
        <f>IFERROR(Data!Q18,"")</f>
        <v/>
      </c>
      <c r="O8" s="60"/>
      <c r="P8" s="60"/>
      <c r="Q8" s="61"/>
      <c r="R8" s="62" t="str">
        <f>IFERROR(Data!U18,"")</f>
        <v/>
      </c>
      <c r="S8" s="63"/>
      <c r="T8" s="63"/>
      <c r="U8" s="64"/>
      <c r="V8" s="18"/>
      <c r="W8" s="18"/>
      <c r="X8" s="18"/>
      <c r="Y8" s="18"/>
      <c r="Z8" s="18"/>
      <c r="AA8" s="18"/>
      <c r="AB8" s="68"/>
      <c r="AC8" s="69"/>
      <c r="AD8" s="69"/>
      <c r="AE8" s="69"/>
      <c r="AF8" s="69"/>
      <c r="AG8" s="69"/>
      <c r="AH8" s="69"/>
      <c r="AI8" s="69"/>
      <c r="AJ8" s="69"/>
      <c r="AK8" s="69"/>
      <c r="AL8" s="69"/>
      <c r="AM8" s="69"/>
      <c r="AN8" s="69"/>
      <c r="AO8" s="69"/>
      <c r="AP8" s="69"/>
      <c r="AQ8" s="69"/>
      <c r="AR8" s="69"/>
      <c r="AS8" s="69"/>
      <c r="AT8" s="69"/>
      <c r="AU8" s="69"/>
      <c r="AV8" s="69"/>
      <c r="AW8" s="69"/>
      <c r="AX8" s="69"/>
      <c r="AY8" s="70"/>
      <c r="AZ8" s="18"/>
    </row>
    <row r="9" spans="1:52" ht="12.75" customHeight="1" x14ac:dyDescent="0.2">
      <c r="A9" s="16" t="s">
        <v>12</v>
      </c>
      <c r="B9" s="74" t="str">
        <f>IFERROR(Data!B19,"")</f>
        <v/>
      </c>
      <c r="C9" s="75"/>
      <c r="D9" s="76"/>
      <c r="E9" s="74" t="str">
        <f>IFERROR(Data!I19,"")</f>
        <v/>
      </c>
      <c r="F9" s="75"/>
      <c r="G9" s="76"/>
      <c r="H9" s="74" t="str">
        <f>IFERROR(Data!H19,"")</f>
        <v/>
      </c>
      <c r="I9" s="75"/>
      <c r="J9" s="76"/>
      <c r="K9" s="59" t="str">
        <f>IFERROR(Data!P19,"")</f>
        <v/>
      </c>
      <c r="L9" s="75"/>
      <c r="M9" s="76"/>
      <c r="N9" s="59" t="str">
        <f>IFERROR(Data!Q19,"")</f>
        <v/>
      </c>
      <c r="O9" s="60"/>
      <c r="P9" s="60"/>
      <c r="Q9" s="61"/>
      <c r="R9" s="62" t="str">
        <f>IFERROR(Data!U19,"")</f>
        <v/>
      </c>
      <c r="S9" s="63"/>
      <c r="T9" s="63"/>
      <c r="U9" s="64"/>
      <c r="V9" s="18"/>
      <c r="W9" s="18"/>
      <c r="X9" s="18"/>
      <c r="Y9" s="18"/>
      <c r="Z9" s="18"/>
      <c r="AA9" s="18"/>
      <c r="AB9" s="71"/>
      <c r="AC9" s="72"/>
      <c r="AD9" s="72"/>
      <c r="AE9" s="72"/>
      <c r="AF9" s="72"/>
      <c r="AG9" s="72"/>
      <c r="AH9" s="72"/>
      <c r="AI9" s="72"/>
      <c r="AJ9" s="72"/>
      <c r="AK9" s="72"/>
      <c r="AL9" s="72"/>
      <c r="AM9" s="72"/>
      <c r="AN9" s="72"/>
      <c r="AO9" s="72"/>
      <c r="AP9" s="72"/>
      <c r="AQ9" s="72"/>
      <c r="AR9" s="72"/>
      <c r="AS9" s="72"/>
      <c r="AT9" s="72"/>
      <c r="AU9" s="72"/>
      <c r="AV9" s="72"/>
      <c r="AW9" s="72"/>
      <c r="AX9" s="72"/>
      <c r="AY9" s="73"/>
      <c r="AZ9" s="18"/>
    </row>
    <row r="10" spans="1:52" x14ac:dyDescent="0.2">
      <c r="A10" s="16" t="s">
        <v>13</v>
      </c>
      <c r="B10" s="74" t="str">
        <f>IFERROR(Data!B20,"")</f>
        <v/>
      </c>
      <c r="C10" s="75"/>
      <c r="D10" s="76"/>
      <c r="E10" s="74" t="str">
        <f>IFERROR(Data!I20,"")</f>
        <v/>
      </c>
      <c r="F10" s="75"/>
      <c r="G10" s="76"/>
      <c r="H10" s="74" t="str">
        <f>IFERROR(Data!H20,"")</f>
        <v/>
      </c>
      <c r="I10" s="75"/>
      <c r="J10" s="76"/>
      <c r="K10" s="59" t="str">
        <f>IFERROR(Data!P20,"")</f>
        <v/>
      </c>
      <c r="L10" s="75"/>
      <c r="M10" s="76"/>
      <c r="N10" s="59" t="str">
        <f>IFERROR(Data!Q20,"")</f>
        <v/>
      </c>
      <c r="O10" s="60"/>
      <c r="P10" s="60"/>
      <c r="Q10" s="61"/>
      <c r="R10" s="62" t="str">
        <f>IFERROR(Data!U20,"")</f>
        <v/>
      </c>
      <c r="S10" s="63"/>
      <c r="T10" s="63"/>
      <c r="U10" s="64"/>
      <c r="V10" s="18"/>
      <c r="W10" s="18"/>
      <c r="X10" s="18"/>
      <c r="Y10" s="18"/>
      <c r="Z10" s="18"/>
      <c r="AA10" s="18"/>
      <c r="AZ10" s="18"/>
    </row>
    <row r="11" spans="1:52" x14ac:dyDescent="0.2">
      <c r="A11" s="16" t="s">
        <v>14</v>
      </c>
      <c r="B11" s="74" t="str">
        <f>IFERROR(Data!B21,"")</f>
        <v/>
      </c>
      <c r="C11" s="75"/>
      <c r="D11" s="76"/>
      <c r="E11" s="74" t="str">
        <f>IFERROR(Data!I21,"")</f>
        <v/>
      </c>
      <c r="F11" s="75"/>
      <c r="G11" s="76"/>
      <c r="H11" s="74" t="str">
        <f>IFERROR(Data!H21,"")</f>
        <v/>
      </c>
      <c r="I11" s="75"/>
      <c r="J11" s="76"/>
      <c r="K11" s="59" t="str">
        <f>IFERROR(Data!P21,"")</f>
        <v/>
      </c>
      <c r="L11" s="75"/>
      <c r="M11" s="76"/>
      <c r="N11" s="59" t="str">
        <f>IFERROR(Data!Q21,"")</f>
        <v/>
      </c>
      <c r="O11" s="60"/>
      <c r="P11" s="60"/>
      <c r="Q11" s="61"/>
      <c r="R11" s="62" t="str">
        <f>IFERROR(Data!U21,"")</f>
        <v/>
      </c>
      <c r="S11" s="63"/>
      <c r="T11" s="63"/>
      <c r="U11" s="64"/>
      <c r="V11" s="18"/>
      <c r="W11" s="18"/>
      <c r="X11" s="18"/>
      <c r="Y11" s="18"/>
      <c r="Z11" s="18"/>
      <c r="AA11" s="18"/>
      <c r="AB11" s="84" t="s">
        <v>194</v>
      </c>
      <c r="AC11" s="85"/>
      <c r="AD11" s="85"/>
      <c r="AE11" s="85"/>
      <c r="AF11" s="85"/>
      <c r="AG11" s="85"/>
      <c r="AH11" s="85"/>
      <c r="AI11" s="85"/>
      <c r="AJ11" s="85"/>
      <c r="AK11" s="85"/>
      <c r="AL11" s="85"/>
      <c r="AM11" s="85"/>
      <c r="AN11" s="85"/>
      <c r="AO11" s="85"/>
      <c r="AP11" s="85"/>
      <c r="AQ11" s="85"/>
      <c r="AR11" s="85"/>
      <c r="AS11" s="85"/>
      <c r="AT11" s="85"/>
      <c r="AU11" s="85"/>
      <c r="AV11" s="85"/>
      <c r="AW11" s="85"/>
      <c r="AX11" s="85"/>
      <c r="AY11" s="86"/>
      <c r="AZ11" s="18"/>
    </row>
    <row r="12" spans="1:52" x14ac:dyDescent="0.2">
      <c r="A12" s="16" t="s">
        <v>15</v>
      </c>
      <c r="B12" s="74" t="str">
        <f>IFERROR(Data!B22,"")</f>
        <v/>
      </c>
      <c r="C12" s="75"/>
      <c r="D12" s="76"/>
      <c r="E12" s="74" t="str">
        <f>IFERROR(Data!I22,"")</f>
        <v/>
      </c>
      <c r="F12" s="75"/>
      <c r="G12" s="76"/>
      <c r="H12" s="74" t="str">
        <f>IFERROR(Data!H22,"")</f>
        <v/>
      </c>
      <c r="I12" s="75"/>
      <c r="J12" s="76"/>
      <c r="K12" s="59" t="str">
        <f>IFERROR(Data!P22,"")</f>
        <v/>
      </c>
      <c r="L12" s="75"/>
      <c r="M12" s="76"/>
      <c r="N12" s="59" t="str">
        <f>IFERROR(Data!Q22,"")</f>
        <v/>
      </c>
      <c r="O12" s="60"/>
      <c r="P12" s="60"/>
      <c r="Q12" s="61"/>
      <c r="R12" s="62" t="str">
        <f>IFERROR(Data!U22,"")</f>
        <v/>
      </c>
      <c r="S12" s="63"/>
      <c r="T12" s="63"/>
      <c r="U12" s="64"/>
      <c r="V12" s="18"/>
      <c r="W12" s="18"/>
      <c r="X12" s="18"/>
      <c r="Y12" s="18"/>
      <c r="Z12" s="18"/>
      <c r="AA12" s="18"/>
      <c r="AB12" s="87"/>
      <c r="AC12" s="88"/>
      <c r="AD12" s="88"/>
      <c r="AE12" s="88"/>
      <c r="AF12" s="88"/>
      <c r="AG12" s="88"/>
      <c r="AH12" s="88"/>
      <c r="AI12" s="88"/>
      <c r="AJ12" s="88"/>
      <c r="AK12" s="88"/>
      <c r="AL12" s="88"/>
      <c r="AM12" s="88"/>
      <c r="AN12" s="88"/>
      <c r="AO12" s="88"/>
      <c r="AP12" s="88"/>
      <c r="AQ12" s="88"/>
      <c r="AR12" s="88"/>
      <c r="AS12" s="88"/>
      <c r="AT12" s="88"/>
      <c r="AU12" s="88"/>
      <c r="AV12" s="88"/>
      <c r="AW12" s="88"/>
      <c r="AX12" s="88"/>
      <c r="AY12" s="89"/>
      <c r="AZ12" s="18"/>
    </row>
    <row r="13" spans="1:52" x14ac:dyDescent="0.2">
      <c r="A13" s="16" t="s">
        <v>16</v>
      </c>
      <c r="B13" s="74" t="str">
        <f>IFERROR(Data!B23,"")</f>
        <v/>
      </c>
      <c r="C13" s="75"/>
      <c r="D13" s="76"/>
      <c r="E13" s="74" t="str">
        <f>IFERROR(Data!I23,"")</f>
        <v/>
      </c>
      <c r="F13" s="75"/>
      <c r="G13" s="76"/>
      <c r="H13" s="74" t="str">
        <f>IFERROR(Data!H23,"")</f>
        <v/>
      </c>
      <c r="I13" s="75"/>
      <c r="J13" s="76"/>
      <c r="K13" s="59" t="str">
        <f>IFERROR(Data!P23,"")</f>
        <v/>
      </c>
      <c r="L13" s="75"/>
      <c r="M13" s="76"/>
      <c r="N13" s="59" t="str">
        <f>IFERROR(Data!Q23,"")</f>
        <v/>
      </c>
      <c r="O13" s="60"/>
      <c r="P13" s="60"/>
      <c r="Q13" s="61"/>
      <c r="R13" s="62" t="str">
        <f>IFERROR(Data!U23,"")</f>
        <v/>
      </c>
      <c r="S13" s="63"/>
      <c r="T13" s="63"/>
      <c r="U13" s="64"/>
      <c r="V13" s="18"/>
      <c r="W13" s="18"/>
      <c r="X13" s="18"/>
      <c r="Y13" s="18"/>
      <c r="Z13" s="18"/>
      <c r="AA13" s="18"/>
      <c r="AB13" s="87"/>
      <c r="AC13" s="88"/>
      <c r="AD13" s="88"/>
      <c r="AE13" s="88"/>
      <c r="AF13" s="88"/>
      <c r="AG13" s="88"/>
      <c r="AH13" s="88"/>
      <c r="AI13" s="88"/>
      <c r="AJ13" s="88"/>
      <c r="AK13" s="88"/>
      <c r="AL13" s="88"/>
      <c r="AM13" s="88"/>
      <c r="AN13" s="88"/>
      <c r="AO13" s="88"/>
      <c r="AP13" s="88"/>
      <c r="AQ13" s="88"/>
      <c r="AR13" s="88"/>
      <c r="AS13" s="88"/>
      <c r="AT13" s="88"/>
      <c r="AU13" s="88"/>
      <c r="AV13" s="88"/>
      <c r="AW13" s="88"/>
      <c r="AX13" s="88"/>
      <c r="AY13" s="89"/>
      <c r="AZ13" s="18"/>
    </row>
    <row r="14" spans="1:52" x14ac:dyDescent="0.2">
      <c r="A14" s="16" t="s">
        <v>17</v>
      </c>
      <c r="B14" s="74" t="str">
        <f>IFERROR(Data!B24,"")</f>
        <v/>
      </c>
      <c r="C14" s="75"/>
      <c r="D14" s="76"/>
      <c r="E14" s="74" t="str">
        <f>IFERROR(Data!I24,"")</f>
        <v/>
      </c>
      <c r="F14" s="75"/>
      <c r="G14" s="76"/>
      <c r="H14" s="74" t="str">
        <f>IFERROR(Data!H24,"")</f>
        <v/>
      </c>
      <c r="I14" s="75"/>
      <c r="J14" s="76"/>
      <c r="K14" s="59" t="str">
        <f>IFERROR(Data!P24,"")</f>
        <v/>
      </c>
      <c r="L14" s="75"/>
      <c r="M14" s="76"/>
      <c r="N14" s="59" t="str">
        <f>IFERROR(Data!Q24,"")</f>
        <v/>
      </c>
      <c r="O14" s="60"/>
      <c r="P14" s="60"/>
      <c r="Q14" s="61"/>
      <c r="R14" s="62" t="str">
        <f>IFERROR(Data!U24,"")</f>
        <v/>
      </c>
      <c r="S14" s="63"/>
      <c r="T14" s="63"/>
      <c r="U14" s="64"/>
      <c r="V14" s="18"/>
      <c r="W14" s="18"/>
      <c r="X14" s="18"/>
      <c r="Y14" s="18"/>
      <c r="Z14" s="18"/>
      <c r="AA14" s="18"/>
      <c r="AB14" s="90"/>
      <c r="AC14" s="91"/>
      <c r="AD14" s="91"/>
      <c r="AE14" s="91"/>
      <c r="AF14" s="91"/>
      <c r="AG14" s="91"/>
      <c r="AH14" s="91"/>
      <c r="AI14" s="91"/>
      <c r="AJ14" s="91"/>
      <c r="AK14" s="91"/>
      <c r="AL14" s="91"/>
      <c r="AM14" s="91"/>
      <c r="AN14" s="91"/>
      <c r="AO14" s="91"/>
      <c r="AP14" s="91"/>
      <c r="AQ14" s="91"/>
      <c r="AR14" s="91"/>
      <c r="AS14" s="91"/>
      <c r="AT14" s="91"/>
      <c r="AU14" s="91"/>
      <c r="AV14" s="91"/>
      <c r="AW14" s="91"/>
      <c r="AX14" s="91"/>
      <c r="AY14" s="92"/>
      <c r="AZ14" s="18"/>
    </row>
    <row r="15" spans="1:52" x14ac:dyDescent="0.2">
      <c r="A15" s="16" t="s">
        <v>18</v>
      </c>
      <c r="B15" s="74" t="str">
        <f>IFERROR(Data!B25,"")</f>
        <v/>
      </c>
      <c r="C15" s="75"/>
      <c r="D15" s="76"/>
      <c r="E15" s="74" t="str">
        <f>IFERROR(Data!I25,"")</f>
        <v/>
      </c>
      <c r="F15" s="75"/>
      <c r="G15" s="76"/>
      <c r="H15" s="74" t="str">
        <f>IFERROR(Data!H25,"")</f>
        <v/>
      </c>
      <c r="I15" s="75"/>
      <c r="J15" s="76"/>
      <c r="K15" s="59" t="str">
        <f>IFERROR(Data!P25,"")</f>
        <v/>
      </c>
      <c r="L15" s="75"/>
      <c r="M15" s="76"/>
      <c r="N15" s="59" t="str">
        <f>IFERROR(Data!Q25,"")</f>
        <v/>
      </c>
      <c r="O15" s="60"/>
      <c r="P15" s="60"/>
      <c r="Q15" s="61"/>
      <c r="R15" s="62" t="str">
        <f>IFERROR(Data!U25,"")</f>
        <v/>
      </c>
      <c r="S15" s="63"/>
      <c r="T15" s="63"/>
      <c r="U15" s="64"/>
      <c r="V15" s="18"/>
      <c r="W15" s="18"/>
      <c r="X15" s="18"/>
      <c r="Y15" s="18"/>
      <c r="Z15" s="18"/>
      <c r="AA15" s="18"/>
      <c r="AZ15" s="18"/>
    </row>
    <row r="16" spans="1:52" x14ac:dyDescent="0.2">
      <c r="A16" s="16" t="s">
        <v>19</v>
      </c>
      <c r="B16" s="74" t="str">
        <f>IFERROR(Data!B26,"")</f>
        <v/>
      </c>
      <c r="C16" s="75"/>
      <c r="D16" s="76"/>
      <c r="E16" s="74" t="str">
        <f>IFERROR(Data!I26,"")</f>
        <v/>
      </c>
      <c r="F16" s="75"/>
      <c r="G16" s="76"/>
      <c r="H16" s="74" t="str">
        <f>IFERROR(Data!H26,"")</f>
        <v/>
      </c>
      <c r="I16" s="75"/>
      <c r="J16" s="76"/>
      <c r="K16" s="59" t="str">
        <f>IFERROR(Data!P26,"")</f>
        <v/>
      </c>
      <c r="L16" s="75"/>
      <c r="M16" s="76"/>
      <c r="N16" s="59" t="str">
        <f>IFERROR(Data!Q26,"")</f>
        <v/>
      </c>
      <c r="O16" s="60"/>
      <c r="P16" s="60"/>
      <c r="Q16" s="61"/>
      <c r="R16" s="62" t="str">
        <f>IFERROR(Data!U26,"")</f>
        <v/>
      </c>
      <c r="S16" s="63"/>
      <c r="T16" s="63"/>
      <c r="U16" s="64"/>
      <c r="V16" s="18"/>
      <c r="W16" s="18"/>
      <c r="X16" s="18"/>
      <c r="Y16" s="18"/>
      <c r="Z16" s="18"/>
      <c r="AA16" s="18"/>
      <c r="AZ16" s="18"/>
    </row>
    <row r="17" spans="1:52" x14ac:dyDescent="0.2">
      <c r="A17" s="16" t="s">
        <v>20</v>
      </c>
      <c r="B17" s="74" t="str">
        <f>IFERROR(Data!B27,"")</f>
        <v/>
      </c>
      <c r="C17" s="75"/>
      <c r="D17" s="76"/>
      <c r="E17" s="74" t="str">
        <f>IFERROR(Data!I27,"")</f>
        <v/>
      </c>
      <c r="F17" s="75"/>
      <c r="G17" s="76"/>
      <c r="H17" s="74" t="str">
        <f>IFERROR(Data!H27,"")</f>
        <v/>
      </c>
      <c r="I17" s="75"/>
      <c r="J17" s="76"/>
      <c r="K17" s="59" t="str">
        <f>IFERROR(Data!P27,"")</f>
        <v/>
      </c>
      <c r="L17" s="75"/>
      <c r="M17" s="76"/>
      <c r="N17" s="59" t="str">
        <f>IFERROR(Data!Q27,"")</f>
        <v/>
      </c>
      <c r="O17" s="60"/>
      <c r="P17" s="60"/>
      <c r="Q17" s="61"/>
      <c r="R17" s="62" t="str">
        <f>IFERROR(Data!U27,"")</f>
        <v/>
      </c>
      <c r="S17" s="63"/>
      <c r="T17" s="63"/>
      <c r="U17" s="64"/>
      <c r="V17" s="18"/>
      <c r="W17" s="18"/>
      <c r="X17" s="18"/>
      <c r="Y17" s="18"/>
      <c r="Z17" s="18"/>
      <c r="AA17" s="18"/>
      <c r="AB17" s="18"/>
      <c r="AC17" s="18"/>
      <c r="AD17" s="19"/>
      <c r="AE17" s="19"/>
      <c r="AF17" s="19"/>
      <c r="AG17" s="19"/>
      <c r="AH17" s="19"/>
      <c r="AI17" s="19"/>
      <c r="AJ17" s="19"/>
      <c r="AK17" s="19"/>
      <c r="AL17" s="19"/>
      <c r="AM17" s="19"/>
      <c r="AN17" s="19"/>
      <c r="AO17" s="19"/>
      <c r="AP17" s="19"/>
      <c r="AQ17" s="19"/>
      <c r="AR17" s="19"/>
      <c r="AS17" s="19"/>
      <c r="AT17" s="19"/>
      <c r="AU17" s="19"/>
      <c r="AV17" s="19"/>
      <c r="AW17" s="19"/>
      <c r="AX17" s="18"/>
      <c r="AY17" s="18"/>
      <c r="AZ17" s="18"/>
    </row>
    <row r="18" spans="1:52" x14ac:dyDescent="0.2">
      <c r="A18" s="16" t="s">
        <v>21</v>
      </c>
      <c r="B18" s="74" t="str">
        <f>IFERROR(Data!B28,"")</f>
        <v/>
      </c>
      <c r="C18" s="75"/>
      <c r="D18" s="76"/>
      <c r="E18" s="74" t="str">
        <f>IFERROR(Data!I28,"")</f>
        <v/>
      </c>
      <c r="F18" s="75"/>
      <c r="G18" s="76"/>
      <c r="H18" s="74" t="str">
        <f>IFERROR(Data!H28,"")</f>
        <v/>
      </c>
      <c r="I18" s="75"/>
      <c r="J18" s="76"/>
      <c r="K18" s="59" t="str">
        <f>IFERROR(Data!P28,"")</f>
        <v/>
      </c>
      <c r="L18" s="75"/>
      <c r="M18" s="76"/>
      <c r="N18" s="59" t="str">
        <f>IFERROR(Data!Q28,"")</f>
        <v/>
      </c>
      <c r="O18" s="60"/>
      <c r="P18" s="60"/>
      <c r="Q18" s="61"/>
      <c r="R18" s="62" t="str">
        <f>IFERROR(Data!U28,"")</f>
        <v/>
      </c>
      <c r="S18" s="63"/>
      <c r="T18" s="63"/>
      <c r="U18" s="64"/>
      <c r="V18" s="18"/>
      <c r="W18" s="18"/>
      <c r="X18" s="18"/>
      <c r="Y18" s="18"/>
      <c r="Z18" s="18"/>
      <c r="AA18" s="18"/>
      <c r="AB18" s="18"/>
      <c r="AC18" s="18"/>
      <c r="AD18" s="19"/>
      <c r="AE18" s="19"/>
      <c r="AF18" s="19"/>
      <c r="AG18" s="19"/>
      <c r="AH18" s="19"/>
      <c r="AI18" s="19"/>
      <c r="AJ18" s="19"/>
      <c r="AK18" s="19"/>
      <c r="AL18" s="19"/>
      <c r="AM18" s="19"/>
      <c r="AN18" s="19"/>
      <c r="AO18" s="19"/>
      <c r="AP18" s="19"/>
      <c r="AQ18" s="19"/>
      <c r="AR18" s="19"/>
      <c r="AS18" s="19"/>
      <c r="AT18" s="19"/>
      <c r="AU18" s="19"/>
      <c r="AV18" s="19"/>
      <c r="AW18" s="19"/>
      <c r="AX18" s="18"/>
      <c r="AY18" s="18"/>
      <c r="AZ18" s="18"/>
    </row>
    <row r="19" spans="1:52" x14ac:dyDescent="0.2">
      <c r="A19" s="16" t="s">
        <v>22</v>
      </c>
      <c r="B19" s="74" t="str">
        <f>IFERROR(Data!B29,"")</f>
        <v/>
      </c>
      <c r="C19" s="75"/>
      <c r="D19" s="76"/>
      <c r="E19" s="74" t="str">
        <f>IFERROR(Data!I29,"")</f>
        <v/>
      </c>
      <c r="F19" s="75"/>
      <c r="G19" s="76"/>
      <c r="H19" s="74" t="str">
        <f>IFERROR(Data!H29,"")</f>
        <v/>
      </c>
      <c r="I19" s="75"/>
      <c r="J19" s="76"/>
      <c r="K19" s="59" t="str">
        <f>IFERROR(Data!P29,"")</f>
        <v/>
      </c>
      <c r="L19" s="75"/>
      <c r="M19" s="76"/>
      <c r="N19" s="59" t="str">
        <f>IFERROR(Data!Q29,"")</f>
        <v/>
      </c>
      <c r="O19" s="60"/>
      <c r="P19" s="60"/>
      <c r="Q19" s="61"/>
      <c r="R19" s="62" t="str">
        <f>IFERROR(Data!U29,"")</f>
        <v/>
      </c>
      <c r="S19" s="63"/>
      <c r="T19" s="63"/>
      <c r="U19" s="64"/>
      <c r="V19" s="18"/>
      <c r="W19" s="18"/>
      <c r="X19" s="18"/>
      <c r="Y19" s="18"/>
      <c r="Z19" s="18"/>
      <c r="AA19" s="18"/>
      <c r="AZ19" s="18"/>
    </row>
    <row r="20" spans="1:52" x14ac:dyDescent="0.2">
      <c r="A20" s="16" t="s">
        <v>34</v>
      </c>
      <c r="B20" s="74" t="str">
        <f>IFERROR(Data!B30,"")</f>
        <v/>
      </c>
      <c r="C20" s="75"/>
      <c r="D20" s="76"/>
      <c r="E20" s="74" t="str">
        <f>IFERROR(Data!I30,"")</f>
        <v/>
      </c>
      <c r="F20" s="75"/>
      <c r="G20" s="76"/>
      <c r="H20" s="74" t="str">
        <f>IFERROR(Data!H30,"")</f>
        <v/>
      </c>
      <c r="I20" s="75"/>
      <c r="J20" s="76"/>
      <c r="K20" s="59" t="str">
        <f>IFERROR(Data!P30,"")</f>
        <v/>
      </c>
      <c r="L20" s="75"/>
      <c r="M20" s="76"/>
      <c r="N20" s="59" t="str">
        <f>IFERROR(Data!Q30,"")</f>
        <v/>
      </c>
      <c r="O20" s="60"/>
      <c r="P20" s="60"/>
      <c r="Q20" s="61"/>
      <c r="R20" s="62" t="str">
        <f>IFERROR(Data!U30,"")</f>
        <v/>
      </c>
      <c r="S20" s="63"/>
      <c r="T20" s="63"/>
      <c r="U20" s="64"/>
      <c r="V20" s="18"/>
      <c r="W20" s="18"/>
      <c r="X20" s="18"/>
      <c r="Y20" s="18"/>
      <c r="Z20" s="18"/>
      <c r="AA20" s="18"/>
      <c r="AZ20" s="18"/>
    </row>
    <row r="21" spans="1:52" x14ac:dyDescent="0.2">
      <c r="A21" s="16" t="s">
        <v>35</v>
      </c>
      <c r="B21" s="74" t="str">
        <f>IFERROR(Data!B31,"")</f>
        <v/>
      </c>
      <c r="C21" s="75"/>
      <c r="D21" s="76"/>
      <c r="E21" s="74" t="str">
        <f>IFERROR(Data!I31,"")</f>
        <v/>
      </c>
      <c r="F21" s="75"/>
      <c r="G21" s="76"/>
      <c r="H21" s="74" t="str">
        <f>IFERROR(Data!H31,"")</f>
        <v/>
      </c>
      <c r="I21" s="75"/>
      <c r="J21" s="76"/>
      <c r="K21" s="59" t="str">
        <f>IFERROR(Data!P31,"")</f>
        <v/>
      </c>
      <c r="L21" s="75"/>
      <c r="M21" s="76"/>
      <c r="N21" s="59" t="str">
        <f>IFERROR(Data!Q31,"")</f>
        <v/>
      </c>
      <c r="O21" s="60"/>
      <c r="P21" s="60"/>
      <c r="Q21" s="61"/>
      <c r="R21" s="62" t="str">
        <f>IFERROR(Data!U31,"")</f>
        <v/>
      </c>
      <c r="S21" s="63"/>
      <c r="T21" s="63"/>
      <c r="U21" s="64"/>
      <c r="V21" s="18"/>
      <c r="W21" s="18"/>
      <c r="X21" s="18"/>
      <c r="Y21" s="18"/>
      <c r="Z21" s="18"/>
      <c r="AA21" s="18"/>
      <c r="AZ21" s="18"/>
    </row>
    <row r="22" spans="1:52" x14ac:dyDescent="0.2">
      <c r="A22" s="16" t="s">
        <v>36</v>
      </c>
      <c r="B22" s="74" t="str">
        <f>IFERROR(Data!B32,"")</f>
        <v/>
      </c>
      <c r="C22" s="75"/>
      <c r="D22" s="76"/>
      <c r="E22" s="74" t="str">
        <f>IFERROR(Data!I32,"")</f>
        <v/>
      </c>
      <c r="F22" s="75"/>
      <c r="G22" s="76"/>
      <c r="H22" s="74" t="str">
        <f>IFERROR(Data!H32,"")</f>
        <v/>
      </c>
      <c r="I22" s="75"/>
      <c r="J22" s="76"/>
      <c r="K22" s="59" t="str">
        <f>IFERROR(Data!P32,"")</f>
        <v/>
      </c>
      <c r="L22" s="75"/>
      <c r="M22" s="76"/>
      <c r="N22" s="59" t="str">
        <f>IFERROR(Data!Q32,"")</f>
        <v/>
      </c>
      <c r="O22" s="60"/>
      <c r="P22" s="60"/>
      <c r="Q22" s="61"/>
      <c r="R22" s="62" t="str">
        <f>IFERROR(Data!U32,"")</f>
        <v/>
      </c>
      <c r="S22" s="63"/>
      <c r="T22" s="63"/>
      <c r="U22" s="64"/>
      <c r="V22" s="18"/>
      <c r="W22" s="18"/>
      <c r="X22" s="18"/>
      <c r="Y22" s="18"/>
      <c r="Z22" s="18"/>
      <c r="AA22" s="18"/>
      <c r="AB22" s="102" t="s">
        <v>196</v>
      </c>
      <c r="AC22" s="103"/>
      <c r="AD22" s="103"/>
      <c r="AE22" s="103"/>
      <c r="AF22" s="103"/>
      <c r="AG22" s="103"/>
      <c r="AH22" s="103"/>
      <c r="AI22" s="103"/>
      <c r="AJ22" s="103"/>
      <c r="AK22" s="103"/>
      <c r="AL22" s="103"/>
      <c r="AM22" s="103"/>
      <c r="AN22" s="103"/>
      <c r="AO22" s="103"/>
      <c r="AP22" s="103"/>
      <c r="AQ22" s="103"/>
      <c r="AR22" s="103"/>
      <c r="AS22" s="103"/>
      <c r="AT22" s="103"/>
      <c r="AU22" s="103"/>
      <c r="AV22" s="103"/>
      <c r="AW22" s="103"/>
      <c r="AX22" s="103"/>
      <c r="AY22" s="104"/>
      <c r="AZ22" s="18"/>
    </row>
    <row r="23" spans="1:52" x14ac:dyDescent="0.2">
      <c r="A23" s="16" t="s">
        <v>37</v>
      </c>
      <c r="B23" s="74" t="str">
        <f>IFERROR(Data!B33,"")</f>
        <v/>
      </c>
      <c r="C23" s="75"/>
      <c r="D23" s="76"/>
      <c r="E23" s="74" t="str">
        <f>IFERROR(Data!I33,"")</f>
        <v/>
      </c>
      <c r="F23" s="75"/>
      <c r="G23" s="76"/>
      <c r="H23" s="74" t="str">
        <f>IFERROR(Data!H33,"")</f>
        <v/>
      </c>
      <c r="I23" s="75"/>
      <c r="J23" s="76"/>
      <c r="K23" s="59" t="str">
        <f>IFERROR(Data!P33,"")</f>
        <v/>
      </c>
      <c r="L23" s="75"/>
      <c r="M23" s="76"/>
      <c r="N23" s="59" t="str">
        <f>IFERROR(Data!Q33,"")</f>
        <v/>
      </c>
      <c r="O23" s="60"/>
      <c r="P23" s="60"/>
      <c r="Q23" s="61"/>
      <c r="R23" s="62" t="str">
        <f>IFERROR(Data!U33,"")</f>
        <v/>
      </c>
      <c r="S23" s="63"/>
      <c r="T23" s="63"/>
      <c r="U23" s="64"/>
      <c r="V23" s="18"/>
      <c r="W23" s="18"/>
      <c r="X23" s="18"/>
      <c r="Y23" s="18"/>
      <c r="Z23" s="18"/>
      <c r="AA23" s="18"/>
      <c r="AB23" s="105" t="s">
        <v>195</v>
      </c>
      <c r="AC23" s="106"/>
      <c r="AD23" s="106"/>
      <c r="AE23" s="106"/>
      <c r="AF23" s="106"/>
      <c r="AG23" s="106"/>
      <c r="AH23" s="106"/>
      <c r="AI23" s="106"/>
      <c r="AJ23" s="106"/>
      <c r="AK23" s="106"/>
      <c r="AL23" s="106"/>
      <c r="AM23" s="106"/>
      <c r="AN23" s="106"/>
      <c r="AO23" s="106"/>
      <c r="AP23" s="106"/>
      <c r="AQ23" s="106"/>
      <c r="AR23" s="106"/>
      <c r="AS23" s="106"/>
      <c r="AT23" s="106"/>
      <c r="AU23" s="106"/>
      <c r="AV23" s="106"/>
      <c r="AW23" s="106"/>
      <c r="AX23" s="106"/>
      <c r="AY23" s="107"/>
      <c r="AZ23" s="18"/>
    </row>
    <row r="24" spans="1:52" ht="12.75" customHeight="1" x14ac:dyDescent="0.2">
      <c r="A24" s="16" t="s">
        <v>38</v>
      </c>
      <c r="B24" s="74" t="str">
        <f>IFERROR(Data!B34,"")</f>
        <v/>
      </c>
      <c r="C24" s="75"/>
      <c r="D24" s="76"/>
      <c r="E24" s="74" t="str">
        <f>IFERROR(Data!I34,"")</f>
        <v/>
      </c>
      <c r="F24" s="75"/>
      <c r="G24" s="76"/>
      <c r="H24" s="74" t="str">
        <f>IFERROR(Data!H34,"")</f>
        <v/>
      </c>
      <c r="I24" s="75"/>
      <c r="J24" s="76"/>
      <c r="K24" s="59" t="str">
        <f>IFERROR(Data!P34,"")</f>
        <v/>
      </c>
      <c r="L24" s="75"/>
      <c r="M24" s="76"/>
      <c r="N24" s="59" t="str">
        <f>IFERROR(Data!Q34,"")</f>
        <v/>
      </c>
      <c r="O24" s="60"/>
      <c r="P24" s="60"/>
      <c r="Q24" s="61"/>
      <c r="R24" s="62" t="str">
        <f>IFERROR(Data!U34,"")</f>
        <v/>
      </c>
      <c r="S24" s="63"/>
      <c r="T24" s="63"/>
      <c r="U24" s="64"/>
      <c r="V24" s="18"/>
      <c r="W24" s="18"/>
      <c r="X24" s="18"/>
      <c r="Y24" s="18"/>
      <c r="Z24" s="18"/>
      <c r="AA24" s="18"/>
      <c r="AZ24" s="18"/>
    </row>
    <row r="25" spans="1:52" x14ac:dyDescent="0.2">
      <c r="A25" s="16" t="s">
        <v>39</v>
      </c>
      <c r="B25" s="74" t="str">
        <f>IFERROR(Data!B35,"")</f>
        <v/>
      </c>
      <c r="C25" s="75"/>
      <c r="D25" s="76"/>
      <c r="E25" s="74" t="str">
        <f>IFERROR(Data!I35,"")</f>
        <v/>
      </c>
      <c r="F25" s="75"/>
      <c r="G25" s="76"/>
      <c r="H25" s="74" t="str">
        <f>IFERROR(Data!H35,"")</f>
        <v/>
      </c>
      <c r="I25" s="75"/>
      <c r="J25" s="76"/>
      <c r="K25" s="59" t="str">
        <f>IFERROR(Data!P35,"")</f>
        <v/>
      </c>
      <c r="L25" s="75"/>
      <c r="M25" s="76"/>
      <c r="N25" s="59" t="str">
        <f>IFERROR(Data!Q35,"")</f>
        <v/>
      </c>
      <c r="O25" s="60"/>
      <c r="P25" s="60"/>
      <c r="Q25" s="61"/>
      <c r="R25" s="62" t="str">
        <f>IFERROR(Data!U35,"")</f>
        <v/>
      </c>
      <c r="S25" s="63"/>
      <c r="T25" s="63"/>
      <c r="U25" s="64"/>
      <c r="V25" s="18"/>
      <c r="W25" s="18"/>
      <c r="X25" s="18"/>
      <c r="Y25" s="18"/>
      <c r="Z25" s="18"/>
      <c r="AA25" s="18"/>
      <c r="AZ25" s="18"/>
    </row>
    <row r="26" spans="1:52" x14ac:dyDescent="0.2">
      <c r="A26" s="16" t="s">
        <v>40</v>
      </c>
      <c r="B26" s="74" t="str">
        <f>IFERROR(Data!B36,"")</f>
        <v/>
      </c>
      <c r="C26" s="75"/>
      <c r="D26" s="76"/>
      <c r="E26" s="74" t="str">
        <f>IFERROR(Data!I36,"")</f>
        <v/>
      </c>
      <c r="F26" s="75"/>
      <c r="G26" s="76"/>
      <c r="H26" s="74" t="str">
        <f>IFERROR(Data!H36,"")</f>
        <v/>
      </c>
      <c r="I26" s="75"/>
      <c r="J26" s="76"/>
      <c r="K26" s="59" t="str">
        <f>IFERROR(Data!P36,"")</f>
        <v/>
      </c>
      <c r="L26" s="75"/>
      <c r="M26" s="76"/>
      <c r="N26" s="59" t="str">
        <f>IFERROR(Data!Q36,"")</f>
        <v/>
      </c>
      <c r="O26" s="60"/>
      <c r="P26" s="60"/>
      <c r="Q26" s="61"/>
      <c r="R26" s="62" t="str">
        <f>IFERROR(Data!U36,"")</f>
        <v/>
      </c>
      <c r="S26" s="63"/>
      <c r="T26" s="63"/>
      <c r="U26" s="64"/>
      <c r="V26" s="18"/>
      <c r="W26" s="18"/>
      <c r="X26" s="18"/>
      <c r="Y26" s="18"/>
      <c r="Z26" s="18"/>
      <c r="AA26" s="18"/>
      <c r="AZ26" s="18"/>
    </row>
    <row r="27" spans="1:52" x14ac:dyDescent="0.2">
      <c r="A27" s="16" t="s">
        <v>41</v>
      </c>
      <c r="B27" s="74" t="str">
        <f>IFERROR(Data!B37,"")</f>
        <v/>
      </c>
      <c r="C27" s="75"/>
      <c r="D27" s="76"/>
      <c r="E27" s="74" t="str">
        <f>IFERROR(Data!I37,"")</f>
        <v/>
      </c>
      <c r="F27" s="75"/>
      <c r="G27" s="76"/>
      <c r="H27" s="74" t="str">
        <f>IFERROR(Data!H37,"")</f>
        <v/>
      </c>
      <c r="I27" s="75"/>
      <c r="J27" s="76"/>
      <c r="K27" s="59" t="str">
        <f>IFERROR(Data!P37,"")</f>
        <v/>
      </c>
      <c r="L27" s="75"/>
      <c r="M27" s="76"/>
      <c r="N27" s="59" t="str">
        <f>IFERROR(Data!Q37,"")</f>
        <v/>
      </c>
      <c r="O27" s="60"/>
      <c r="P27" s="60"/>
      <c r="Q27" s="61"/>
      <c r="R27" s="62" t="str">
        <f>IFERROR(Data!U37,"")</f>
        <v/>
      </c>
      <c r="S27" s="63"/>
      <c r="T27" s="63"/>
      <c r="U27" s="64"/>
      <c r="V27" s="18"/>
      <c r="W27" s="18"/>
      <c r="X27" s="18"/>
      <c r="Y27" s="18"/>
      <c r="Z27" s="18"/>
      <c r="AA27" s="18"/>
      <c r="AZ27" s="18"/>
    </row>
    <row r="28" spans="1:52" x14ac:dyDescent="0.2">
      <c r="A28" s="16" t="s">
        <v>42</v>
      </c>
      <c r="B28" s="74" t="str">
        <f>IFERROR(Data!B38,"")</f>
        <v/>
      </c>
      <c r="C28" s="75"/>
      <c r="D28" s="76"/>
      <c r="E28" s="74" t="str">
        <f>IFERROR(Data!I38,"")</f>
        <v/>
      </c>
      <c r="F28" s="75"/>
      <c r="G28" s="76"/>
      <c r="H28" s="74" t="str">
        <f>IFERROR(Data!H38,"")</f>
        <v/>
      </c>
      <c r="I28" s="75"/>
      <c r="J28" s="76"/>
      <c r="K28" s="59" t="str">
        <f>IFERROR(Data!P38,"")</f>
        <v/>
      </c>
      <c r="L28" s="75"/>
      <c r="M28" s="76"/>
      <c r="N28" s="59" t="str">
        <f>IFERROR(Data!Q38,"")</f>
        <v/>
      </c>
      <c r="O28" s="60"/>
      <c r="P28" s="60"/>
      <c r="Q28" s="61"/>
      <c r="R28" s="62" t="str">
        <f>IFERROR(Data!U38,"")</f>
        <v/>
      </c>
      <c r="S28" s="63"/>
      <c r="T28" s="63"/>
      <c r="U28" s="64"/>
      <c r="V28" s="18"/>
      <c r="W28" s="18"/>
      <c r="X28" s="18"/>
      <c r="Y28" s="18"/>
      <c r="Z28" s="18"/>
      <c r="AA28" s="18"/>
      <c r="AB28" s="18"/>
      <c r="AC28" s="18"/>
      <c r="AD28" s="19"/>
      <c r="AE28" s="19"/>
      <c r="AF28" s="19"/>
      <c r="AG28" s="19"/>
      <c r="AH28" s="19"/>
      <c r="AI28" s="19"/>
      <c r="AJ28" s="19"/>
      <c r="AK28" s="19"/>
      <c r="AL28" s="19"/>
      <c r="AM28" s="19"/>
      <c r="AN28" s="19"/>
      <c r="AO28" s="19"/>
      <c r="AP28" s="19"/>
      <c r="AQ28" s="19"/>
      <c r="AR28" s="19"/>
      <c r="AS28" s="19"/>
      <c r="AT28" s="19"/>
      <c r="AU28" s="19"/>
      <c r="AV28" s="19"/>
      <c r="AW28" s="19"/>
      <c r="AX28" s="18"/>
      <c r="AY28" s="18"/>
      <c r="AZ28" s="18"/>
    </row>
    <row r="29" spans="1:52" x14ac:dyDescent="0.2">
      <c r="A29" s="16" t="s">
        <v>43</v>
      </c>
      <c r="B29" s="74" t="str">
        <f>IFERROR(Data!B39,"")</f>
        <v/>
      </c>
      <c r="C29" s="75"/>
      <c r="D29" s="76"/>
      <c r="E29" s="74" t="str">
        <f>IFERROR(Data!I39,"")</f>
        <v/>
      </c>
      <c r="F29" s="75"/>
      <c r="G29" s="76"/>
      <c r="H29" s="74" t="str">
        <f>IFERROR(Data!H39,"")</f>
        <v/>
      </c>
      <c r="I29" s="75"/>
      <c r="J29" s="76"/>
      <c r="K29" s="59" t="str">
        <f>IFERROR(Data!P39,"")</f>
        <v/>
      </c>
      <c r="L29" s="75"/>
      <c r="M29" s="76"/>
      <c r="N29" s="59" t="str">
        <f>IFERROR(Data!Q39,"")</f>
        <v/>
      </c>
      <c r="O29" s="60"/>
      <c r="P29" s="60"/>
      <c r="Q29" s="61"/>
      <c r="R29" s="62" t="str">
        <f>IFERROR(Data!U39,"")</f>
        <v/>
      </c>
      <c r="S29" s="63"/>
      <c r="T29" s="63"/>
      <c r="U29" s="64"/>
      <c r="V29" s="18"/>
      <c r="W29" s="18"/>
      <c r="X29" s="18"/>
      <c r="Y29" s="18"/>
      <c r="Z29" s="18"/>
      <c r="AA29" s="18"/>
      <c r="AB29" s="18"/>
      <c r="AC29" s="18"/>
      <c r="AD29" s="19"/>
      <c r="AE29" s="19"/>
      <c r="AF29" s="19"/>
      <c r="AG29" s="19"/>
      <c r="AH29" s="19"/>
      <c r="AI29" s="19"/>
      <c r="AJ29" s="19"/>
      <c r="AK29" s="19"/>
      <c r="AL29" s="19"/>
      <c r="AM29" s="19"/>
      <c r="AN29" s="19"/>
      <c r="AO29" s="19"/>
      <c r="AP29" s="19"/>
      <c r="AQ29" s="19"/>
      <c r="AR29" s="19"/>
      <c r="AS29" s="19"/>
      <c r="AT29" s="19"/>
      <c r="AU29" s="19"/>
      <c r="AV29" s="19"/>
      <c r="AW29" s="19"/>
      <c r="AX29" s="18"/>
      <c r="AY29" s="18"/>
      <c r="AZ29" s="18"/>
    </row>
    <row r="30" spans="1:52" x14ac:dyDescent="0.2">
      <c r="A30" s="16" t="s">
        <v>23</v>
      </c>
      <c r="B30" s="74" t="str">
        <f>IFERROR(Data!B40,"")</f>
        <v/>
      </c>
      <c r="C30" s="75"/>
      <c r="D30" s="76"/>
      <c r="E30" s="74" t="str">
        <f>IFERROR(Data!I40,"")</f>
        <v/>
      </c>
      <c r="F30" s="75"/>
      <c r="G30" s="76"/>
      <c r="H30" s="74" t="str">
        <f>IFERROR(Data!H40,"")</f>
        <v/>
      </c>
      <c r="I30" s="75"/>
      <c r="J30" s="76"/>
      <c r="K30" s="59" t="str">
        <f>IFERROR(Data!P40,"")</f>
        <v/>
      </c>
      <c r="L30" s="75"/>
      <c r="M30" s="76"/>
      <c r="N30" s="59" t="str">
        <f>IFERROR(Data!Q40,"")</f>
        <v/>
      </c>
      <c r="O30" s="60"/>
      <c r="P30" s="60"/>
      <c r="Q30" s="61"/>
      <c r="R30" s="62" t="str">
        <f>IFERROR(Data!U40,"")</f>
        <v/>
      </c>
      <c r="S30" s="63"/>
      <c r="T30" s="63"/>
      <c r="U30" s="64"/>
      <c r="V30" s="18"/>
      <c r="W30" s="18"/>
      <c r="X30" s="18"/>
      <c r="Y30" s="18"/>
      <c r="Z30" s="18"/>
      <c r="AA30" s="18"/>
      <c r="AB30" s="18"/>
      <c r="AC30" s="18"/>
      <c r="AD30" s="19"/>
      <c r="AE30" s="19"/>
      <c r="AF30" s="19"/>
      <c r="AG30" s="19"/>
      <c r="AH30" s="19"/>
      <c r="AI30" s="19"/>
      <c r="AJ30" s="19"/>
      <c r="AK30" s="19"/>
      <c r="AL30" s="19"/>
      <c r="AM30" s="19"/>
      <c r="AN30" s="19"/>
      <c r="AO30" s="19"/>
      <c r="AP30" s="19"/>
      <c r="AQ30" s="19"/>
      <c r="AR30" s="19"/>
      <c r="AS30" s="19"/>
      <c r="AT30" s="19"/>
      <c r="AU30" s="19"/>
      <c r="AV30" s="19"/>
      <c r="AW30" s="19"/>
      <c r="AX30" s="18"/>
      <c r="AY30" s="18"/>
      <c r="AZ30" s="18"/>
    </row>
    <row r="31" spans="1:52" x14ac:dyDescent="0.2">
      <c r="A31" s="16" t="s">
        <v>44</v>
      </c>
      <c r="B31" s="74" t="str">
        <f>IFERROR(Data!B41,"")</f>
        <v/>
      </c>
      <c r="C31" s="75"/>
      <c r="D31" s="76"/>
      <c r="E31" s="74" t="str">
        <f>IFERROR(Data!I41,"")</f>
        <v/>
      </c>
      <c r="F31" s="75"/>
      <c r="G31" s="76"/>
      <c r="H31" s="74" t="str">
        <f>IFERROR(Data!H41,"")</f>
        <v/>
      </c>
      <c r="I31" s="75"/>
      <c r="J31" s="76"/>
      <c r="K31" s="59" t="str">
        <f>IFERROR(Data!P41,"")</f>
        <v/>
      </c>
      <c r="L31" s="75"/>
      <c r="M31" s="76"/>
      <c r="N31" s="59" t="str">
        <f>IFERROR(Data!Q41,"")</f>
        <v/>
      </c>
      <c r="O31" s="60"/>
      <c r="P31" s="60"/>
      <c r="Q31" s="61"/>
      <c r="R31" s="62" t="str">
        <f>IFERROR(Data!U41,"")</f>
        <v/>
      </c>
      <c r="S31" s="63"/>
      <c r="T31" s="63"/>
      <c r="U31" s="64"/>
      <c r="V31" s="18"/>
      <c r="W31" s="18"/>
      <c r="X31" s="18"/>
      <c r="Y31" s="18"/>
      <c r="Z31" s="18"/>
      <c r="AA31" s="18"/>
      <c r="AB31" s="18"/>
      <c r="AC31" s="18"/>
      <c r="AD31" s="19"/>
      <c r="AE31" s="19"/>
      <c r="AF31" s="19"/>
      <c r="AG31" s="19"/>
      <c r="AH31" s="19"/>
      <c r="AI31" s="19"/>
      <c r="AJ31" s="19"/>
      <c r="AK31" s="19"/>
      <c r="AL31" s="19"/>
      <c r="AM31" s="19"/>
      <c r="AN31" s="19"/>
      <c r="AO31" s="19"/>
      <c r="AP31" s="19"/>
      <c r="AQ31" s="19"/>
      <c r="AR31" s="19"/>
      <c r="AS31" s="19"/>
      <c r="AT31" s="19"/>
      <c r="AU31" s="19"/>
      <c r="AV31" s="19"/>
      <c r="AW31" s="19"/>
      <c r="AX31" s="18"/>
      <c r="AY31" s="18"/>
      <c r="AZ31" s="18"/>
    </row>
    <row r="32" spans="1:52" x14ac:dyDescent="0.2">
      <c r="A32" s="16" t="s">
        <v>45</v>
      </c>
      <c r="B32" s="74" t="str">
        <f>IFERROR(Data!B42,"")</f>
        <v/>
      </c>
      <c r="C32" s="75"/>
      <c r="D32" s="76"/>
      <c r="E32" s="74" t="str">
        <f>IFERROR(Data!I42,"")</f>
        <v/>
      </c>
      <c r="F32" s="75"/>
      <c r="G32" s="76"/>
      <c r="H32" s="74" t="str">
        <f>IFERROR(Data!H42,"")</f>
        <v/>
      </c>
      <c r="I32" s="75"/>
      <c r="J32" s="76"/>
      <c r="K32" s="59" t="str">
        <f>IFERROR(Data!P42,"")</f>
        <v/>
      </c>
      <c r="L32" s="75"/>
      <c r="M32" s="76"/>
      <c r="N32" s="59" t="str">
        <f>IFERROR(Data!Q42,"")</f>
        <v/>
      </c>
      <c r="O32" s="60"/>
      <c r="P32" s="60"/>
      <c r="Q32" s="61"/>
      <c r="R32" s="62" t="str">
        <f>IFERROR(Data!U42,"")</f>
        <v/>
      </c>
      <c r="S32" s="63"/>
      <c r="T32" s="63"/>
      <c r="U32" s="64"/>
      <c r="V32" s="18"/>
      <c r="W32" s="18"/>
      <c r="X32" s="18"/>
      <c r="Y32" s="18"/>
      <c r="Z32" s="18"/>
      <c r="AA32" s="18"/>
      <c r="AB32" s="18"/>
      <c r="AC32" s="18"/>
      <c r="AD32" s="19"/>
      <c r="AE32" s="19"/>
      <c r="AF32" s="19"/>
      <c r="AG32" s="19"/>
      <c r="AH32" s="19"/>
      <c r="AI32" s="19"/>
      <c r="AJ32" s="19"/>
      <c r="AK32" s="19"/>
      <c r="AL32" s="19"/>
      <c r="AM32" s="19"/>
      <c r="AN32" s="19"/>
      <c r="AO32" s="19"/>
      <c r="AP32" s="19"/>
      <c r="AQ32" s="19"/>
      <c r="AR32" s="19"/>
      <c r="AS32" s="19"/>
      <c r="AT32" s="19"/>
      <c r="AU32" s="19"/>
      <c r="AV32" s="19"/>
      <c r="AW32" s="19"/>
      <c r="AX32" s="18"/>
      <c r="AY32" s="18"/>
      <c r="AZ32" s="18"/>
    </row>
    <row r="33" spans="1:52" x14ac:dyDescent="0.2">
      <c r="A33" s="16" t="s">
        <v>46</v>
      </c>
      <c r="B33" s="74" t="str">
        <f>IFERROR(Data!B43,"")</f>
        <v/>
      </c>
      <c r="C33" s="75"/>
      <c r="D33" s="76"/>
      <c r="E33" s="74" t="str">
        <f>IFERROR(Data!I43,"")</f>
        <v/>
      </c>
      <c r="F33" s="75"/>
      <c r="G33" s="76"/>
      <c r="H33" s="74" t="str">
        <f>IFERROR(Data!H43,"")</f>
        <v/>
      </c>
      <c r="I33" s="75"/>
      <c r="J33" s="76"/>
      <c r="K33" s="59" t="str">
        <f>IFERROR(Data!P43,"")</f>
        <v/>
      </c>
      <c r="L33" s="75"/>
      <c r="M33" s="76"/>
      <c r="N33" s="59" t="str">
        <f>IFERROR(Data!Q43,"")</f>
        <v/>
      </c>
      <c r="O33" s="60"/>
      <c r="P33" s="60"/>
      <c r="Q33" s="61"/>
      <c r="R33" s="62" t="str">
        <f>IFERROR(Data!U43,"")</f>
        <v/>
      </c>
      <c r="S33" s="63"/>
      <c r="T33" s="63"/>
      <c r="U33" s="64"/>
      <c r="V33" s="18"/>
      <c r="W33" s="18"/>
      <c r="X33" s="18"/>
      <c r="Y33" s="18"/>
      <c r="Z33" s="18"/>
      <c r="AA33" s="18"/>
      <c r="AB33" s="18"/>
      <c r="AC33" s="18"/>
      <c r="AD33" s="19"/>
      <c r="AE33" s="19"/>
      <c r="AF33" s="19"/>
      <c r="AG33" s="19"/>
      <c r="AH33" s="19"/>
      <c r="AI33" s="19"/>
      <c r="AJ33" s="19"/>
      <c r="AK33" s="19"/>
      <c r="AL33" s="19"/>
      <c r="AM33" s="19"/>
      <c r="AN33" s="19"/>
      <c r="AO33" s="19"/>
      <c r="AP33" s="19"/>
      <c r="AQ33" s="19"/>
      <c r="AR33" s="19"/>
      <c r="AS33" s="19"/>
      <c r="AT33" s="19"/>
      <c r="AU33" s="19"/>
      <c r="AV33" s="19"/>
      <c r="AW33" s="19"/>
      <c r="AX33" s="18"/>
      <c r="AY33" s="18"/>
      <c r="AZ33" s="18"/>
    </row>
    <row r="34" spans="1:52" x14ac:dyDescent="0.2">
      <c r="A34" s="16" t="s">
        <v>47</v>
      </c>
      <c r="B34" s="74" t="str">
        <f>IFERROR(Data!B44,"")</f>
        <v/>
      </c>
      <c r="C34" s="75"/>
      <c r="D34" s="76"/>
      <c r="E34" s="74" t="str">
        <f>IFERROR(Data!I44,"")</f>
        <v/>
      </c>
      <c r="F34" s="75"/>
      <c r="G34" s="76"/>
      <c r="H34" s="74" t="str">
        <f>IFERROR(Data!H44,"")</f>
        <v/>
      </c>
      <c r="I34" s="75"/>
      <c r="J34" s="76"/>
      <c r="K34" s="59" t="str">
        <f>IFERROR(Data!P44,"")</f>
        <v/>
      </c>
      <c r="L34" s="75"/>
      <c r="M34" s="76"/>
      <c r="N34" s="59" t="str">
        <f>IFERROR(Data!Q44,"")</f>
        <v/>
      </c>
      <c r="O34" s="60"/>
      <c r="P34" s="60"/>
      <c r="Q34" s="61"/>
      <c r="R34" s="62" t="str">
        <f>IFERROR(Data!U44,"")</f>
        <v/>
      </c>
      <c r="S34" s="63"/>
      <c r="T34" s="63"/>
      <c r="U34" s="64"/>
      <c r="V34" s="18"/>
      <c r="W34" s="18"/>
      <c r="X34" s="18"/>
      <c r="Y34" s="18"/>
      <c r="Z34" s="18"/>
      <c r="AA34" s="18"/>
      <c r="AB34" s="18"/>
      <c r="AC34" s="18"/>
      <c r="AD34" s="19"/>
      <c r="AE34" s="19"/>
      <c r="AF34" s="19"/>
      <c r="AG34" s="19"/>
      <c r="AH34" s="19"/>
      <c r="AI34" s="19"/>
      <c r="AJ34" s="19"/>
      <c r="AK34" s="19"/>
      <c r="AL34" s="19"/>
      <c r="AM34" s="19"/>
      <c r="AN34" s="19"/>
      <c r="AO34" s="19"/>
      <c r="AP34" s="19"/>
      <c r="AQ34" s="19"/>
      <c r="AR34" s="19"/>
      <c r="AS34" s="19"/>
      <c r="AT34" s="19"/>
      <c r="AU34" s="19"/>
      <c r="AV34" s="19"/>
      <c r="AW34" s="19"/>
      <c r="AX34" s="18"/>
      <c r="AY34" s="18"/>
      <c r="AZ34" s="18"/>
    </row>
    <row r="35" spans="1:52" x14ac:dyDescent="0.2">
      <c r="A35" s="16" t="s">
        <v>48</v>
      </c>
      <c r="B35" s="74" t="str">
        <f>IFERROR(Data!B45,"")</f>
        <v/>
      </c>
      <c r="C35" s="75"/>
      <c r="D35" s="76"/>
      <c r="E35" s="74" t="str">
        <f>IFERROR(Data!I45,"")</f>
        <v/>
      </c>
      <c r="F35" s="75"/>
      <c r="G35" s="76"/>
      <c r="H35" s="74" t="str">
        <f>IFERROR(Data!H45,"")</f>
        <v/>
      </c>
      <c r="I35" s="75"/>
      <c r="J35" s="76"/>
      <c r="K35" s="59" t="str">
        <f>IFERROR(Data!P45,"")</f>
        <v/>
      </c>
      <c r="L35" s="75"/>
      <c r="M35" s="76"/>
      <c r="N35" s="59" t="str">
        <f>IFERROR(Data!Q45,"")</f>
        <v/>
      </c>
      <c r="O35" s="60"/>
      <c r="P35" s="60"/>
      <c r="Q35" s="61"/>
      <c r="R35" s="62" t="str">
        <f>IFERROR(Data!U45,"")</f>
        <v/>
      </c>
      <c r="S35" s="63"/>
      <c r="T35" s="63"/>
      <c r="U35" s="64"/>
      <c r="V35" s="18"/>
      <c r="W35" s="18"/>
      <c r="X35" s="18"/>
      <c r="Y35" s="18"/>
      <c r="Z35" s="18"/>
      <c r="AA35" s="18"/>
      <c r="AB35" s="18"/>
      <c r="AC35" s="18"/>
      <c r="AD35" s="19"/>
      <c r="AE35" s="19"/>
      <c r="AF35" s="19"/>
      <c r="AG35" s="19"/>
      <c r="AH35" s="19"/>
      <c r="AI35" s="19"/>
      <c r="AJ35" s="19"/>
      <c r="AK35" s="19"/>
      <c r="AL35" s="19"/>
      <c r="AM35" s="19"/>
      <c r="AN35" s="19"/>
      <c r="AO35" s="19"/>
      <c r="AP35" s="19"/>
      <c r="AQ35" s="19"/>
      <c r="AR35" s="19"/>
      <c r="AS35" s="19"/>
      <c r="AT35" s="19"/>
      <c r="AU35" s="19"/>
      <c r="AV35" s="19"/>
      <c r="AW35" s="19"/>
      <c r="AX35" s="18"/>
      <c r="AY35" s="18"/>
      <c r="AZ35" s="18"/>
    </row>
    <row r="36" spans="1:52" x14ac:dyDescent="0.2">
      <c r="A36" s="16" t="s">
        <v>49</v>
      </c>
      <c r="B36" s="74" t="str">
        <f>IFERROR(Data!B46,"")</f>
        <v/>
      </c>
      <c r="C36" s="75"/>
      <c r="D36" s="76"/>
      <c r="E36" s="74" t="str">
        <f>IFERROR(Data!I46,"")</f>
        <v/>
      </c>
      <c r="F36" s="75"/>
      <c r="G36" s="76"/>
      <c r="H36" s="74" t="str">
        <f>IFERROR(Data!H46,"")</f>
        <v/>
      </c>
      <c r="I36" s="75"/>
      <c r="J36" s="76"/>
      <c r="K36" s="59" t="str">
        <f>IFERROR(Data!P46,"")</f>
        <v/>
      </c>
      <c r="L36" s="75"/>
      <c r="M36" s="76"/>
      <c r="N36" s="59" t="str">
        <f>IFERROR(Data!Q46,"")</f>
        <v/>
      </c>
      <c r="O36" s="60"/>
      <c r="P36" s="60"/>
      <c r="Q36" s="61"/>
      <c r="R36" s="62" t="str">
        <f>IFERROR(Data!U46,"")</f>
        <v/>
      </c>
      <c r="S36" s="63"/>
      <c r="T36" s="63"/>
      <c r="U36" s="64"/>
      <c r="V36" s="18"/>
      <c r="W36" s="18"/>
      <c r="X36" s="18"/>
      <c r="Y36" s="18"/>
      <c r="Z36" s="18"/>
      <c r="AA36" s="18"/>
      <c r="AB36" s="18"/>
      <c r="AC36" s="18"/>
      <c r="AD36" s="19"/>
      <c r="AE36" s="19"/>
      <c r="AF36" s="19"/>
      <c r="AG36" s="19"/>
      <c r="AH36" s="19"/>
      <c r="AI36" s="19"/>
      <c r="AJ36" s="19"/>
      <c r="AK36" s="19"/>
      <c r="AL36" s="19"/>
      <c r="AM36" s="19"/>
      <c r="AN36" s="19"/>
      <c r="AO36" s="19"/>
      <c r="AP36" s="19"/>
      <c r="AQ36" s="19"/>
      <c r="AR36" s="19"/>
      <c r="AS36" s="19"/>
      <c r="AT36" s="19"/>
      <c r="AU36" s="19"/>
      <c r="AV36" s="19"/>
      <c r="AW36" s="19"/>
      <c r="AX36" s="18"/>
      <c r="AY36" s="18"/>
      <c r="AZ36" s="18"/>
    </row>
    <row r="37" spans="1:52" x14ac:dyDescent="0.2">
      <c r="A37" s="16" t="s">
        <v>50</v>
      </c>
      <c r="B37" s="74" t="str">
        <f>IFERROR(Data!B47,"")</f>
        <v/>
      </c>
      <c r="C37" s="75"/>
      <c r="D37" s="76"/>
      <c r="E37" s="74" t="str">
        <f>IFERROR(Data!I47,"")</f>
        <v/>
      </c>
      <c r="F37" s="75"/>
      <c r="G37" s="76"/>
      <c r="H37" s="74" t="str">
        <f>IFERROR(Data!H47,"")</f>
        <v/>
      </c>
      <c r="I37" s="75"/>
      <c r="J37" s="76"/>
      <c r="K37" s="59" t="str">
        <f>IFERROR(Data!P47,"")</f>
        <v/>
      </c>
      <c r="L37" s="75"/>
      <c r="M37" s="76"/>
      <c r="N37" s="59" t="str">
        <f>IFERROR(Data!Q47,"")</f>
        <v/>
      </c>
      <c r="O37" s="60"/>
      <c r="P37" s="60"/>
      <c r="Q37" s="61"/>
      <c r="R37" s="62" t="str">
        <f>IFERROR(Data!U47,"")</f>
        <v/>
      </c>
      <c r="S37" s="63"/>
      <c r="T37" s="63"/>
      <c r="U37" s="64"/>
      <c r="V37" s="18"/>
      <c r="W37" s="18"/>
      <c r="X37" s="18"/>
      <c r="Y37" s="18"/>
      <c r="Z37" s="18"/>
      <c r="AA37" s="18"/>
      <c r="AB37" s="18"/>
      <c r="AC37" s="18"/>
      <c r="AD37" s="19"/>
      <c r="AE37" s="19"/>
      <c r="AF37" s="19"/>
      <c r="AG37" s="19"/>
      <c r="AH37" s="19"/>
      <c r="AI37" s="19"/>
      <c r="AJ37" s="19"/>
      <c r="AK37" s="19"/>
      <c r="AL37" s="19"/>
      <c r="AM37" s="19"/>
      <c r="AN37" s="19"/>
      <c r="AO37" s="19"/>
      <c r="AP37" s="19"/>
      <c r="AQ37" s="19"/>
      <c r="AR37" s="19"/>
      <c r="AS37" s="19"/>
      <c r="AT37" s="19"/>
      <c r="AU37" s="19"/>
      <c r="AV37" s="19"/>
      <c r="AW37" s="19"/>
      <c r="AX37" s="18"/>
      <c r="AY37" s="18"/>
      <c r="AZ37" s="18"/>
    </row>
    <row r="38" spans="1:52" x14ac:dyDescent="0.2">
      <c r="A38" s="16" t="s">
        <v>51</v>
      </c>
      <c r="B38" s="74" t="str">
        <f>IFERROR(Data!B48,"")</f>
        <v/>
      </c>
      <c r="C38" s="75"/>
      <c r="D38" s="76"/>
      <c r="E38" s="74" t="str">
        <f>IFERROR(Data!I48,"")</f>
        <v/>
      </c>
      <c r="F38" s="75"/>
      <c r="G38" s="76"/>
      <c r="H38" s="74" t="str">
        <f>IFERROR(Data!H48,"")</f>
        <v/>
      </c>
      <c r="I38" s="75"/>
      <c r="J38" s="76"/>
      <c r="K38" s="59" t="str">
        <f>IFERROR(Data!P48,"")</f>
        <v/>
      </c>
      <c r="L38" s="75"/>
      <c r="M38" s="76"/>
      <c r="N38" s="59" t="str">
        <f>IFERROR(Data!Q48,"")</f>
        <v/>
      </c>
      <c r="O38" s="60"/>
      <c r="P38" s="60"/>
      <c r="Q38" s="61"/>
      <c r="R38" s="62" t="str">
        <f>IFERROR(Data!U48,"")</f>
        <v/>
      </c>
      <c r="S38" s="63"/>
      <c r="T38" s="63"/>
      <c r="U38" s="64"/>
      <c r="V38" s="18"/>
      <c r="W38" s="18"/>
      <c r="X38" s="18"/>
      <c r="Y38" s="18"/>
      <c r="Z38" s="18"/>
      <c r="AA38" s="18"/>
      <c r="AB38" s="18"/>
      <c r="AC38" s="18"/>
      <c r="AD38" s="19"/>
      <c r="AE38" s="19"/>
      <c r="AF38" s="19"/>
      <c r="AG38" s="19"/>
      <c r="AH38" s="19"/>
      <c r="AI38" s="19"/>
      <c r="AJ38" s="19"/>
      <c r="AK38" s="19"/>
      <c r="AL38" s="19"/>
      <c r="AM38" s="19"/>
      <c r="AN38" s="19"/>
      <c r="AO38" s="19"/>
      <c r="AP38" s="19"/>
      <c r="AQ38" s="19"/>
      <c r="AR38" s="19"/>
      <c r="AS38" s="19"/>
      <c r="AT38" s="19"/>
      <c r="AU38" s="19"/>
      <c r="AV38" s="19"/>
      <c r="AW38" s="19"/>
      <c r="AX38" s="18"/>
      <c r="AY38" s="18"/>
      <c r="AZ38" s="18"/>
    </row>
    <row r="39" spans="1:52" x14ac:dyDescent="0.2">
      <c r="A39" s="16" t="s">
        <v>52</v>
      </c>
      <c r="B39" s="74" t="str">
        <f>IFERROR(Data!B49,"")</f>
        <v/>
      </c>
      <c r="C39" s="75"/>
      <c r="D39" s="76"/>
      <c r="E39" s="74" t="str">
        <f>IFERROR(Data!I49,"")</f>
        <v/>
      </c>
      <c r="F39" s="75"/>
      <c r="G39" s="76"/>
      <c r="H39" s="74" t="str">
        <f>IFERROR(Data!H49,"")</f>
        <v/>
      </c>
      <c r="I39" s="75"/>
      <c r="J39" s="76"/>
      <c r="K39" s="59" t="str">
        <f>IFERROR(Data!P49,"")</f>
        <v/>
      </c>
      <c r="L39" s="75"/>
      <c r="M39" s="76"/>
      <c r="N39" s="59" t="str">
        <f>IFERROR(Data!Q49,"")</f>
        <v/>
      </c>
      <c r="O39" s="60"/>
      <c r="P39" s="60"/>
      <c r="Q39" s="61"/>
      <c r="R39" s="62" t="str">
        <f>IFERROR(Data!U49,"")</f>
        <v/>
      </c>
      <c r="S39" s="63"/>
      <c r="T39" s="63"/>
      <c r="U39" s="64"/>
      <c r="V39" s="18"/>
      <c r="W39" s="18"/>
      <c r="X39" s="18"/>
      <c r="Y39" s="18"/>
      <c r="Z39" s="18"/>
      <c r="AA39" s="18"/>
      <c r="AB39" s="18"/>
      <c r="AC39" s="18"/>
      <c r="AD39" s="19"/>
      <c r="AE39" s="19"/>
      <c r="AF39" s="19"/>
      <c r="AG39" s="19"/>
      <c r="AH39" s="19"/>
      <c r="AI39" s="19"/>
      <c r="AJ39" s="19"/>
      <c r="AK39" s="19"/>
      <c r="AL39" s="19"/>
      <c r="AM39" s="19"/>
      <c r="AN39" s="19"/>
      <c r="AO39" s="19"/>
      <c r="AP39" s="19"/>
      <c r="AQ39" s="19"/>
      <c r="AR39" s="19"/>
      <c r="AS39" s="19"/>
      <c r="AT39" s="19"/>
      <c r="AU39" s="19"/>
      <c r="AV39" s="19"/>
      <c r="AW39" s="19"/>
      <c r="AX39" s="18"/>
      <c r="AY39" s="18"/>
      <c r="AZ39" s="18"/>
    </row>
    <row r="40" spans="1:52" x14ac:dyDescent="0.2">
      <c r="A40" s="16" t="s">
        <v>24</v>
      </c>
      <c r="B40" s="74" t="str">
        <f>IFERROR(Data!B50,"")</f>
        <v/>
      </c>
      <c r="C40" s="75"/>
      <c r="D40" s="76"/>
      <c r="E40" s="74" t="str">
        <f>IFERROR(Data!I50,"")</f>
        <v/>
      </c>
      <c r="F40" s="75"/>
      <c r="G40" s="76"/>
      <c r="H40" s="74" t="str">
        <f>IFERROR(Data!H50,"")</f>
        <v/>
      </c>
      <c r="I40" s="75"/>
      <c r="J40" s="76"/>
      <c r="K40" s="59" t="str">
        <f>IFERROR(Data!P50,"")</f>
        <v/>
      </c>
      <c r="L40" s="75"/>
      <c r="M40" s="76"/>
      <c r="N40" s="59" t="str">
        <f>IFERROR(Data!Q50,"")</f>
        <v/>
      </c>
      <c r="O40" s="60"/>
      <c r="P40" s="60"/>
      <c r="Q40" s="61"/>
      <c r="R40" s="62" t="str">
        <f>IFERROR(Data!U50,"")</f>
        <v/>
      </c>
      <c r="S40" s="63"/>
      <c r="T40" s="63"/>
      <c r="U40" s="64"/>
      <c r="V40" s="18"/>
      <c r="W40" s="18"/>
      <c r="X40" s="18"/>
      <c r="Y40" s="18"/>
      <c r="Z40" s="18"/>
      <c r="AA40" s="18"/>
      <c r="AB40" s="18"/>
      <c r="AC40" s="18"/>
      <c r="AD40" s="19"/>
      <c r="AE40" s="19"/>
      <c r="AF40" s="19"/>
      <c r="AG40" s="19"/>
      <c r="AH40" s="19"/>
      <c r="AI40" s="19"/>
      <c r="AJ40" s="19"/>
      <c r="AK40" s="19"/>
      <c r="AL40" s="19"/>
      <c r="AM40" s="19"/>
      <c r="AN40" s="19"/>
      <c r="AO40" s="19"/>
      <c r="AP40" s="19"/>
      <c r="AQ40" s="19"/>
      <c r="AR40" s="19"/>
      <c r="AS40" s="19"/>
      <c r="AT40" s="19"/>
      <c r="AU40" s="19"/>
      <c r="AV40" s="19"/>
      <c r="AW40" s="19"/>
      <c r="AX40" s="18"/>
      <c r="AY40" s="18"/>
      <c r="AZ40" s="18"/>
    </row>
    <row r="41" spans="1:52" x14ac:dyDescent="0.2">
      <c r="A41" s="16" t="s">
        <v>53</v>
      </c>
      <c r="B41" s="74" t="str">
        <f>IFERROR(Data!B51,"")</f>
        <v/>
      </c>
      <c r="C41" s="75"/>
      <c r="D41" s="76"/>
      <c r="E41" s="74" t="str">
        <f>IFERROR(Data!I51,"")</f>
        <v/>
      </c>
      <c r="F41" s="75"/>
      <c r="G41" s="76"/>
      <c r="H41" s="74" t="str">
        <f>IFERROR(Data!H51,"")</f>
        <v/>
      </c>
      <c r="I41" s="75"/>
      <c r="J41" s="76"/>
      <c r="K41" s="59" t="str">
        <f>IFERROR(Data!P51,"")</f>
        <v/>
      </c>
      <c r="L41" s="75"/>
      <c r="M41" s="76"/>
      <c r="N41" s="59" t="str">
        <f>IFERROR(Data!Q51,"")</f>
        <v/>
      </c>
      <c r="O41" s="60"/>
      <c r="P41" s="60"/>
      <c r="Q41" s="61"/>
      <c r="R41" s="62" t="str">
        <f>IFERROR(Data!U51,"")</f>
        <v/>
      </c>
      <c r="S41" s="63"/>
      <c r="T41" s="63"/>
      <c r="U41" s="64"/>
      <c r="V41" s="18"/>
      <c r="W41" s="18"/>
      <c r="X41" s="18"/>
      <c r="Y41" s="18"/>
      <c r="Z41" s="18"/>
      <c r="AA41" s="18"/>
      <c r="AB41" s="18"/>
      <c r="AC41" s="18"/>
      <c r="AD41" s="19"/>
      <c r="AE41" s="19"/>
      <c r="AF41" s="19"/>
      <c r="AG41" s="19"/>
      <c r="AH41" s="19"/>
      <c r="AI41" s="19"/>
      <c r="AJ41" s="19"/>
      <c r="AK41" s="19"/>
      <c r="AL41" s="19"/>
      <c r="AM41" s="19"/>
      <c r="AN41" s="19"/>
      <c r="AO41" s="19"/>
      <c r="AP41" s="19"/>
      <c r="AQ41" s="19"/>
      <c r="AR41" s="19"/>
      <c r="AS41" s="19"/>
      <c r="AT41" s="19"/>
      <c r="AU41" s="19"/>
      <c r="AV41" s="19"/>
      <c r="AW41" s="19"/>
      <c r="AX41" s="18"/>
      <c r="AY41" s="18"/>
      <c r="AZ41" s="18"/>
    </row>
    <row r="42" spans="1:52" x14ac:dyDescent="0.2">
      <c r="A42" s="16" t="s">
        <v>54</v>
      </c>
      <c r="B42" s="74" t="str">
        <f>IFERROR(Data!B52,"")</f>
        <v/>
      </c>
      <c r="C42" s="75"/>
      <c r="D42" s="76"/>
      <c r="E42" s="74" t="str">
        <f>IFERROR(Data!I52,"")</f>
        <v/>
      </c>
      <c r="F42" s="75"/>
      <c r="G42" s="76"/>
      <c r="H42" s="74" t="str">
        <f>IFERROR(Data!H52,"")</f>
        <v/>
      </c>
      <c r="I42" s="75"/>
      <c r="J42" s="76"/>
      <c r="K42" s="59" t="str">
        <f>IFERROR(Data!P52,"")</f>
        <v/>
      </c>
      <c r="L42" s="75"/>
      <c r="M42" s="76"/>
      <c r="N42" s="59" t="str">
        <f>IFERROR(Data!Q52,"")</f>
        <v/>
      </c>
      <c r="O42" s="60"/>
      <c r="P42" s="60"/>
      <c r="Q42" s="61"/>
      <c r="R42" s="62" t="str">
        <f>IFERROR(Data!U52,"")</f>
        <v/>
      </c>
      <c r="S42" s="63"/>
      <c r="T42" s="63"/>
      <c r="U42" s="64"/>
      <c r="V42" s="18"/>
      <c r="W42" s="18"/>
      <c r="X42" s="18"/>
      <c r="Y42" s="18"/>
      <c r="Z42" s="18"/>
      <c r="AA42" s="18"/>
      <c r="AB42" s="18"/>
      <c r="AC42" s="18"/>
      <c r="AD42" s="19"/>
      <c r="AE42" s="19"/>
      <c r="AF42" s="19"/>
      <c r="AG42" s="19"/>
      <c r="AH42" s="19"/>
      <c r="AI42" s="19"/>
      <c r="AJ42" s="19"/>
      <c r="AK42" s="19"/>
      <c r="AL42" s="19"/>
      <c r="AM42" s="19"/>
      <c r="AN42" s="19"/>
      <c r="AO42" s="19"/>
      <c r="AP42" s="19"/>
      <c r="AQ42" s="19"/>
      <c r="AR42" s="19"/>
      <c r="AS42" s="19"/>
      <c r="AT42" s="19"/>
      <c r="AU42" s="19"/>
      <c r="AV42" s="19"/>
      <c r="AW42" s="19"/>
      <c r="AX42" s="18"/>
      <c r="AY42" s="18"/>
      <c r="AZ42" s="18"/>
    </row>
    <row r="43" spans="1:52" x14ac:dyDescent="0.2">
      <c r="A43" s="16" t="s">
        <v>55</v>
      </c>
      <c r="B43" s="74" t="str">
        <f>IFERROR(Data!B53,"")</f>
        <v/>
      </c>
      <c r="C43" s="75"/>
      <c r="D43" s="76"/>
      <c r="E43" s="74" t="str">
        <f>IFERROR(Data!I53,"")</f>
        <v/>
      </c>
      <c r="F43" s="75"/>
      <c r="G43" s="76"/>
      <c r="H43" s="74" t="str">
        <f>IFERROR(Data!H53,"")</f>
        <v/>
      </c>
      <c r="I43" s="75"/>
      <c r="J43" s="76"/>
      <c r="K43" s="59" t="str">
        <f>IFERROR(Data!P53,"")</f>
        <v/>
      </c>
      <c r="L43" s="75"/>
      <c r="M43" s="76"/>
      <c r="N43" s="59" t="str">
        <f>IFERROR(Data!Q53,"")</f>
        <v/>
      </c>
      <c r="O43" s="60"/>
      <c r="P43" s="60"/>
      <c r="Q43" s="61"/>
      <c r="R43" s="62" t="str">
        <f>IFERROR(Data!U53,"")</f>
        <v/>
      </c>
      <c r="S43" s="63"/>
      <c r="T43" s="63"/>
      <c r="U43" s="64"/>
      <c r="V43" s="18"/>
      <c r="W43" s="18"/>
      <c r="X43" s="18"/>
      <c r="Y43" s="18"/>
      <c r="Z43" s="18"/>
      <c r="AA43" s="18"/>
      <c r="AB43" s="18"/>
      <c r="AC43" s="18"/>
      <c r="AD43" s="19"/>
      <c r="AE43" s="19"/>
      <c r="AF43" s="19"/>
      <c r="AG43" s="19"/>
      <c r="AH43" s="19"/>
      <c r="AI43" s="19"/>
      <c r="AJ43" s="19"/>
      <c r="AK43" s="19"/>
      <c r="AL43" s="19"/>
      <c r="AM43" s="19"/>
      <c r="AN43" s="19"/>
      <c r="AO43" s="19"/>
      <c r="AP43" s="19"/>
      <c r="AQ43" s="19"/>
      <c r="AR43" s="19"/>
      <c r="AS43" s="19"/>
      <c r="AT43" s="19"/>
      <c r="AU43" s="19"/>
      <c r="AV43" s="19"/>
      <c r="AW43" s="19"/>
      <c r="AX43" s="18"/>
      <c r="AY43" s="18"/>
      <c r="AZ43" s="18"/>
    </row>
    <row r="44" spans="1:52" x14ac:dyDescent="0.2">
      <c r="A44" s="16" t="s">
        <v>56</v>
      </c>
      <c r="B44" s="74" t="str">
        <f>IFERROR(Data!B54,"")</f>
        <v/>
      </c>
      <c r="C44" s="75"/>
      <c r="D44" s="76"/>
      <c r="E44" s="74" t="str">
        <f>IFERROR(Data!I54,"")</f>
        <v/>
      </c>
      <c r="F44" s="75"/>
      <c r="G44" s="76"/>
      <c r="H44" s="74" t="str">
        <f>IFERROR(Data!H54,"")</f>
        <v/>
      </c>
      <c r="I44" s="75"/>
      <c r="J44" s="76"/>
      <c r="K44" s="59" t="str">
        <f>IFERROR(Data!P54,"")</f>
        <v/>
      </c>
      <c r="L44" s="75"/>
      <c r="M44" s="76"/>
      <c r="N44" s="59" t="str">
        <f>IFERROR(Data!Q54,"")</f>
        <v/>
      </c>
      <c r="O44" s="60"/>
      <c r="P44" s="60"/>
      <c r="Q44" s="61"/>
      <c r="R44" s="62" t="str">
        <f>IFERROR(Data!U54,"")</f>
        <v/>
      </c>
      <c r="S44" s="63"/>
      <c r="T44" s="63"/>
      <c r="U44" s="64"/>
      <c r="V44" s="18"/>
      <c r="W44" s="18"/>
      <c r="X44" s="18"/>
      <c r="Y44" s="18"/>
      <c r="Z44" s="18"/>
      <c r="AA44" s="18"/>
      <c r="AB44" s="18"/>
      <c r="AC44" s="18"/>
      <c r="AD44" s="19"/>
      <c r="AE44" s="19"/>
      <c r="AF44" s="19"/>
      <c r="AG44" s="19"/>
      <c r="AH44" s="19"/>
      <c r="AI44" s="19"/>
      <c r="AJ44" s="19"/>
      <c r="AK44" s="19"/>
      <c r="AL44" s="19"/>
      <c r="AM44" s="19"/>
      <c r="AN44" s="19"/>
      <c r="AO44" s="19"/>
      <c r="AP44" s="19"/>
      <c r="AQ44" s="19"/>
      <c r="AR44" s="19"/>
      <c r="AS44" s="19"/>
      <c r="AT44" s="19"/>
      <c r="AU44" s="19"/>
      <c r="AV44" s="19"/>
      <c r="AW44" s="19"/>
      <c r="AX44" s="18"/>
      <c r="AY44" s="18"/>
      <c r="AZ44" s="18"/>
    </row>
    <row r="45" spans="1:52" x14ac:dyDescent="0.2">
      <c r="A45" s="16" t="s">
        <v>57</v>
      </c>
      <c r="B45" s="74" t="str">
        <f>IFERROR(Data!B55,"")</f>
        <v/>
      </c>
      <c r="C45" s="75"/>
      <c r="D45" s="76"/>
      <c r="E45" s="74" t="str">
        <f>IFERROR(Data!I55,"")</f>
        <v/>
      </c>
      <c r="F45" s="75"/>
      <c r="G45" s="76"/>
      <c r="H45" s="74" t="str">
        <f>IFERROR(Data!H55,"")</f>
        <v/>
      </c>
      <c r="I45" s="75"/>
      <c r="J45" s="76"/>
      <c r="K45" s="59" t="str">
        <f>IFERROR(Data!P55,"")</f>
        <v/>
      </c>
      <c r="L45" s="75"/>
      <c r="M45" s="76"/>
      <c r="N45" s="59" t="str">
        <f>IFERROR(Data!Q55,"")</f>
        <v/>
      </c>
      <c r="O45" s="60"/>
      <c r="P45" s="60"/>
      <c r="Q45" s="61"/>
      <c r="R45" s="62" t="str">
        <f>IFERROR(Data!U55,"")</f>
        <v/>
      </c>
      <c r="S45" s="63"/>
      <c r="T45" s="63"/>
      <c r="U45" s="64"/>
      <c r="V45" s="18"/>
      <c r="W45" s="18"/>
      <c r="X45" s="18"/>
      <c r="Y45" s="18"/>
      <c r="Z45" s="18"/>
      <c r="AA45" s="18"/>
      <c r="AB45" s="18"/>
      <c r="AC45" s="18"/>
      <c r="AD45" s="19"/>
      <c r="AE45" s="19"/>
      <c r="AF45" s="19"/>
      <c r="AG45" s="19"/>
      <c r="AH45" s="19"/>
      <c r="AI45" s="19"/>
      <c r="AJ45" s="19"/>
      <c r="AK45" s="19"/>
      <c r="AL45" s="19"/>
      <c r="AM45" s="19"/>
      <c r="AN45" s="19"/>
      <c r="AO45" s="19"/>
      <c r="AP45" s="19"/>
      <c r="AQ45" s="19"/>
      <c r="AR45" s="19"/>
      <c r="AS45" s="19"/>
      <c r="AT45" s="19"/>
      <c r="AU45" s="19"/>
      <c r="AV45" s="19"/>
      <c r="AW45" s="19"/>
      <c r="AX45" s="18"/>
      <c r="AY45" s="18"/>
      <c r="AZ45" s="18"/>
    </row>
    <row r="46" spans="1:52" x14ac:dyDescent="0.2">
      <c r="A46" s="16" t="s">
        <v>58</v>
      </c>
      <c r="B46" s="74" t="str">
        <f>IFERROR(Data!B56,"")</f>
        <v/>
      </c>
      <c r="C46" s="75"/>
      <c r="D46" s="76"/>
      <c r="E46" s="74" t="str">
        <f>IFERROR(Data!I56,"")</f>
        <v/>
      </c>
      <c r="F46" s="75"/>
      <c r="G46" s="76"/>
      <c r="H46" s="74" t="str">
        <f>IFERROR(Data!H56,"")</f>
        <v/>
      </c>
      <c r="I46" s="75"/>
      <c r="J46" s="76"/>
      <c r="K46" s="59" t="str">
        <f>IFERROR(Data!P56,"")</f>
        <v/>
      </c>
      <c r="L46" s="75"/>
      <c r="M46" s="76"/>
      <c r="N46" s="59" t="str">
        <f>IFERROR(Data!Q56,"")</f>
        <v/>
      </c>
      <c r="O46" s="60"/>
      <c r="P46" s="60"/>
      <c r="Q46" s="61"/>
      <c r="R46" s="62" t="str">
        <f>IFERROR(Data!U56,"")</f>
        <v/>
      </c>
      <c r="S46" s="63"/>
      <c r="T46" s="63"/>
      <c r="U46" s="64"/>
      <c r="V46" s="18"/>
      <c r="W46" s="18"/>
      <c r="X46" s="18"/>
      <c r="Y46" s="18"/>
      <c r="Z46" s="18"/>
      <c r="AA46" s="18"/>
      <c r="AB46" s="18"/>
      <c r="AC46" s="18"/>
      <c r="AD46" s="19"/>
      <c r="AE46" s="19"/>
      <c r="AF46" s="19"/>
      <c r="AG46" s="19"/>
      <c r="AH46" s="19"/>
      <c r="AI46" s="19"/>
      <c r="AJ46" s="19"/>
      <c r="AK46" s="19"/>
      <c r="AL46" s="19"/>
      <c r="AM46" s="19"/>
      <c r="AN46" s="19"/>
      <c r="AO46" s="19"/>
      <c r="AP46" s="19"/>
      <c r="AQ46" s="19"/>
      <c r="AR46" s="19"/>
      <c r="AS46" s="19"/>
      <c r="AT46" s="19"/>
      <c r="AU46" s="19"/>
      <c r="AV46" s="19"/>
      <c r="AW46" s="19"/>
      <c r="AX46" s="18"/>
      <c r="AY46" s="18"/>
      <c r="AZ46" s="18"/>
    </row>
    <row r="47" spans="1:52" x14ac:dyDescent="0.2">
      <c r="A47" s="16" t="s">
        <v>59</v>
      </c>
      <c r="B47" s="74" t="str">
        <f>IFERROR(Data!B57,"")</f>
        <v/>
      </c>
      <c r="C47" s="75"/>
      <c r="D47" s="76"/>
      <c r="E47" s="74" t="str">
        <f>IFERROR(Data!I57,"")</f>
        <v/>
      </c>
      <c r="F47" s="75"/>
      <c r="G47" s="76"/>
      <c r="H47" s="74" t="str">
        <f>IFERROR(Data!H57,"")</f>
        <v/>
      </c>
      <c r="I47" s="75"/>
      <c r="J47" s="76"/>
      <c r="K47" s="59" t="str">
        <f>IFERROR(Data!P57,"")</f>
        <v/>
      </c>
      <c r="L47" s="75"/>
      <c r="M47" s="76"/>
      <c r="N47" s="59" t="str">
        <f>IFERROR(Data!Q57,"")</f>
        <v/>
      </c>
      <c r="O47" s="60"/>
      <c r="P47" s="60"/>
      <c r="Q47" s="61"/>
      <c r="R47" s="62" t="str">
        <f>IFERROR(Data!U57,"")</f>
        <v/>
      </c>
      <c r="S47" s="63"/>
      <c r="T47" s="63"/>
      <c r="U47" s="64"/>
      <c r="V47" s="18"/>
      <c r="W47" s="18"/>
      <c r="X47" s="18"/>
      <c r="Y47" s="18"/>
      <c r="Z47" s="18"/>
      <c r="AA47" s="18"/>
      <c r="AB47" s="18"/>
      <c r="AC47" s="18"/>
      <c r="AD47" s="19"/>
      <c r="AE47" s="19"/>
      <c r="AF47" s="19"/>
      <c r="AG47" s="19"/>
      <c r="AH47" s="19"/>
      <c r="AI47" s="19"/>
      <c r="AJ47" s="19"/>
      <c r="AK47" s="19"/>
      <c r="AL47" s="19"/>
      <c r="AM47" s="19"/>
      <c r="AN47" s="19"/>
      <c r="AO47" s="19"/>
      <c r="AP47" s="19"/>
      <c r="AQ47" s="19"/>
      <c r="AR47" s="19"/>
      <c r="AS47" s="19"/>
      <c r="AT47" s="19"/>
      <c r="AU47" s="19"/>
      <c r="AV47" s="19"/>
      <c r="AW47" s="19"/>
      <c r="AX47" s="18"/>
      <c r="AY47" s="18"/>
      <c r="AZ47" s="18"/>
    </row>
    <row r="48" spans="1:52" x14ac:dyDescent="0.2">
      <c r="A48" s="16" t="s">
        <v>60</v>
      </c>
      <c r="B48" s="74" t="str">
        <f>IFERROR(Data!B58,"")</f>
        <v/>
      </c>
      <c r="C48" s="75"/>
      <c r="D48" s="76"/>
      <c r="E48" s="74" t="str">
        <f>IFERROR(Data!I58,"")</f>
        <v/>
      </c>
      <c r="F48" s="75"/>
      <c r="G48" s="76"/>
      <c r="H48" s="74" t="str">
        <f>IFERROR(Data!H58,"")</f>
        <v/>
      </c>
      <c r="I48" s="75"/>
      <c r="J48" s="76"/>
      <c r="K48" s="59" t="str">
        <f>IFERROR(Data!P58,"")</f>
        <v/>
      </c>
      <c r="L48" s="75"/>
      <c r="M48" s="76"/>
      <c r="N48" s="59" t="str">
        <f>IFERROR(Data!Q58,"")</f>
        <v/>
      </c>
      <c r="O48" s="60"/>
      <c r="P48" s="60"/>
      <c r="Q48" s="61"/>
      <c r="R48" s="62" t="str">
        <f>IFERROR(Data!U58,"")</f>
        <v/>
      </c>
      <c r="S48" s="63"/>
      <c r="T48" s="63"/>
      <c r="U48" s="64"/>
      <c r="V48" s="18"/>
      <c r="W48" s="18"/>
      <c r="X48" s="18"/>
      <c r="Y48" s="18"/>
      <c r="Z48" s="18"/>
      <c r="AA48" s="18"/>
      <c r="AB48" s="18"/>
      <c r="AC48" s="18"/>
      <c r="AD48" s="19"/>
      <c r="AE48" s="19"/>
      <c r="AF48" s="19"/>
      <c r="AG48" s="19"/>
      <c r="AH48" s="19"/>
      <c r="AI48" s="19"/>
      <c r="AJ48" s="19"/>
      <c r="AK48" s="19"/>
      <c r="AL48" s="19"/>
      <c r="AM48" s="19"/>
      <c r="AN48" s="19"/>
      <c r="AO48" s="19"/>
      <c r="AP48" s="19"/>
      <c r="AQ48" s="19"/>
      <c r="AR48" s="19"/>
      <c r="AS48" s="19"/>
      <c r="AT48" s="19"/>
      <c r="AU48" s="19"/>
      <c r="AV48" s="19"/>
      <c r="AW48" s="19"/>
      <c r="AX48" s="18"/>
      <c r="AY48" s="18"/>
      <c r="AZ48" s="18"/>
    </row>
    <row r="49" spans="1:52" x14ac:dyDescent="0.2">
      <c r="A49" s="16" t="s">
        <v>25</v>
      </c>
      <c r="B49" s="74" t="str">
        <f>IFERROR(Data!B59,"")</f>
        <v/>
      </c>
      <c r="C49" s="75"/>
      <c r="D49" s="76"/>
      <c r="E49" s="74" t="str">
        <f>IFERROR(Data!I59,"")</f>
        <v/>
      </c>
      <c r="F49" s="75"/>
      <c r="G49" s="76"/>
      <c r="H49" s="74" t="str">
        <f>IFERROR(Data!H59,"")</f>
        <v/>
      </c>
      <c r="I49" s="75"/>
      <c r="J49" s="76"/>
      <c r="K49" s="59" t="str">
        <f>IFERROR(Data!P59,"")</f>
        <v/>
      </c>
      <c r="L49" s="75"/>
      <c r="M49" s="76"/>
      <c r="N49" s="59" t="str">
        <f>IFERROR(Data!Q59,"")</f>
        <v/>
      </c>
      <c r="O49" s="60"/>
      <c r="P49" s="60"/>
      <c r="Q49" s="61"/>
      <c r="R49" s="62" t="str">
        <f>IFERROR(Data!U59,"")</f>
        <v/>
      </c>
      <c r="S49" s="63"/>
      <c r="T49" s="63"/>
      <c r="U49" s="64"/>
      <c r="V49" s="18"/>
      <c r="W49" s="18"/>
      <c r="X49" s="18"/>
      <c r="Y49" s="18"/>
      <c r="Z49" s="18"/>
      <c r="AA49" s="18"/>
      <c r="AB49" s="18"/>
      <c r="AC49" s="18"/>
      <c r="AD49" s="19"/>
      <c r="AE49" s="19"/>
      <c r="AF49" s="19"/>
      <c r="AG49" s="19"/>
      <c r="AH49" s="19"/>
      <c r="AI49" s="19"/>
      <c r="AJ49" s="19"/>
      <c r="AK49" s="19"/>
      <c r="AL49" s="19"/>
      <c r="AM49" s="19"/>
      <c r="AN49" s="19"/>
      <c r="AO49" s="19"/>
      <c r="AP49" s="19"/>
      <c r="AQ49" s="19"/>
      <c r="AR49" s="19"/>
      <c r="AS49" s="19"/>
      <c r="AT49" s="19"/>
      <c r="AU49" s="19"/>
      <c r="AV49" s="19"/>
      <c r="AW49" s="19"/>
      <c r="AX49" s="18"/>
      <c r="AY49" s="18"/>
      <c r="AZ49" s="18"/>
    </row>
    <row r="50" spans="1:52" x14ac:dyDescent="0.2">
      <c r="A50" s="16" t="s">
        <v>61</v>
      </c>
      <c r="B50" s="74" t="str">
        <f>IFERROR(Data!B60,"")</f>
        <v/>
      </c>
      <c r="C50" s="75"/>
      <c r="D50" s="76"/>
      <c r="E50" s="74" t="str">
        <f>IFERROR(Data!I60,"")</f>
        <v/>
      </c>
      <c r="F50" s="75"/>
      <c r="G50" s="76"/>
      <c r="H50" s="74" t="str">
        <f>IFERROR(Data!H60,"")</f>
        <v/>
      </c>
      <c r="I50" s="75"/>
      <c r="J50" s="76"/>
      <c r="K50" s="59" t="str">
        <f>IFERROR(Data!P60,"")</f>
        <v/>
      </c>
      <c r="L50" s="75"/>
      <c r="M50" s="76"/>
      <c r="N50" s="59" t="str">
        <f>IFERROR(Data!Q60,"")</f>
        <v/>
      </c>
      <c r="O50" s="60"/>
      <c r="P50" s="60"/>
      <c r="Q50" s="61"/>
      <c r="R50" s="62" t="str">
        <f>IFERROR(Data!U60,"")</f>
        <v/>
      </c>
      <c r="S50" s="63"/>
      <c r="T50" s="63"/>
      <c r="U50" s="64"/>
      <c r="V50" s="18"/>
      <c r="W50" s="18"/>
      <c r="X50" s="18"/>
      <c r="Y50" s="18"/>
      <c r="Z50" s="18"/>
      <c r="AA50" s="18"/>
      <c r="AB50" s="18"/>
      <c r="AC50" s="18"/>
      <c r="AD50" s="19"/>
      <c r="AE50" s="19"/>
      <c r="AF50" s="19"/>
      <c r="AG50" s="19"/>
      <c r="AH50" s="19"/>
      <c r="AI50" s="19"/>
      <c r="AJ50" s="19"/>
      <c r="AK50" s="19"/>
      <c r="AL50" s="19"/>
      <c r="AM50" s="19"/>
      <c r="AN50" s="19"/>
      <c r="AO50" s="19"/>
      <c r="AP50" s="19"/>
      <c r="AQ50" s="19"/>
      <c r="AR50" s="19"/>
      <c r="AS50" s="19"/>
      <c r="AT50" s="19"/>
      <c r="AU50" s="19"/>
      <c r="AV50" s="19"/>
      <c r="AW50" s="19"/>
      <c r="AX50" s="18"/>
      <c r="AY50" s="18"/>
      <c r="AZ50" s="18"/>
    </row>
    <row r="51" spans="1:52" x14ac:dyDescent="0.2">
      <c r="A51" s="16" t="s">
        <v>62</v>
      </c>
      <c r="B51" s="74" t="str">
        <f>IFERROR(Data!B61,"")</f>
        <v/>
      </c>
      <c r="C51" s="75"/>
      <c r="D51" s="76"/>
      <c r="E51" s="74" t="str">
        <f>IFERROR(Data!I61,"")</f>
        <v/>
      </c>
      <c r="F51" s="75"/>
      <c r="G51" s="76"/>
      <c r="H51" s="74" t="str">
        <f>IFERROR(Data!H61,"")</f>
        <v/>
      </c>
      <c r="I51" s="75"/>
      <c r="J51" s="76"/>
      <c r="K51" s="59" t="str">
        <f>IFERROR(Data!P61,"")</f>
        <v/>
      </c>
      <c r="L51" s="75"/>
      <c r="M51" s="76"/>
      <c r="N51" s="59" t="str">
        <f>IFERROR(Data!Q61,"")</f>
        <v/>
      </c>
      <c r="O51" s="60"/>
      <c r="P51" s="60"/>
      <c r="Q51" s="61"/>
      <c r="R51" s="62" t="str">
        <f>IFERROR(Data!U61,"")</f>
        <v/>
      </c>
      <c r="S51" s="63"/>
      <c r="T51" s="63"/>
      <c r="U51" s="64"/>
      <c r="V51" s="18"/>
      <c r="W51" s="18"/>
      <c r="X51" s="18"/>
      <c r="Y51" s="18"/>
      <c r="Z51" s="18"/>
      <c r="AA51" s="18"/>
      <c r="AB51" s="18"/>
      <c r="AC51" s="18"/>
      <c r="AD51" s="19"/>
      <c r="AE51" s="19"/>
      <c r="AF51" s="19"/>
      <c r="AG51" s="19"/>
      <c r="AH51" s="19"/>
      <c r="AI51" s="19"/>
      <c r="AJ51" s="19"/>
      <c r="AK51" s="19"/>
      <c r="AL51" s="19"/>
      <c r="AM51" s="19"/>
      <c r="AN51" s="19"/>
      <c r="AO51" s="19"/>
      <c r="AP51" s="19"/>
      <c r="AQ51" s="19"/>
      <c r="AR51" s="19"/>
      <c r="AS51" s="19"/>
      <c r="AT51" s="19"/>
      <c r="AU51" s="19"/>
      <c r="AV51" s="19"/>
      <c r="AW51" s="19"/>
      <c r="AX51" s="18"/>
      <c r="AY51" s="18"/>
      <c r="AZ51" s="18"/>
    </row>
    <row r="52" spans="1:52" x14ac:dyDescent="0.2">
      <c r="A52" s="16" t="s">
        <v>63</v>
      </c>
      <c r="B52" s="74" t="str">
        <f>IFERROR(Data!B62,"")</f>
        <v/>
      </c>
      <c r="C52" s="75"/>
      <c r="D52" s="76"/>
      <c r="E52" s="74" t="str">
        <f>IFERROR(Data!I62,"")</f>
        <v/>
      </c>
      <c r="F52" s="75"/>
      <c r="G52" s="76"/>
      <c r="H52" s="74" t="str">
        <f>IFERROR(Data!H62,"")</f>
        <v/>
      </c>
      <c r="I52" s="75"/>
      <c r="J52" s="76"/>
      <c r="K52" s="59" t="str">
        <f>IFERROR(Data!P62,"")</f>
        <v/>
      </c>
      <c r="L52" s="75"/>
      <c r="M52" s="76"/>
      <c r="N52" s="59" t="str">
        <f>IFERROR(Data!Q62,"")</f>
        <v/>
      </c>
      <c r="O52" s="60"/>
      <c r="P52" s="60"/>
      <c r="Q52" s="61"/>
      <c r="R52" s="62" t="str">
        <f>IFERROR(Data!U62,"")</f>
        <v/>
      </c>
      <c r="S52" s="63"/>
      <c r="T52" s="63"/>
      <c r="U52" s="64"/>
      <c r="V52" s="18"/>
      <c r="W52" s="18"/>
      <c r="X52" s="18"/>
      <c r="Y52" s="18"/>
      <c r="Z52" s="18"/>
      <c r="AA52" s="18"/>
      <c r="AB52" s="18"/>
      <c r="AC52" s="18"/>
      <c r="AD52" s="19"/>
      <c r="AE52" s="19"/>
      <c r="AF52" s="19"/>
      <c r="AG52" s="19"/>
      <c r="AH52" s="19"/>
      <c r="AI52" s="19"/>
      <c r="AJ52" s="19"/>
      <c r="AK52" s="19"/>
      <c r="AL52" s="19"/>
      <c r="AM52" s="19"/>
      <c r="AN52" s="19"/>
      <c r="AO52" s="19"/>
      <c r="AP52" s="19"/>
      <c r="AQ52" s="19"/>
      <c r="AR52" s="19"/>
      <c r="AS52" s="19"/>
      <c r="AT52" s="19"/>
      <c r="AU52" s="19"/>
      <c r="AV52" s="19"/>
      <c r="AW52" s="19"/>
      <c r="AX52" s="18"/>
      <c r="AY52" s="18"/>
      <c r="AZ52" s="18"/>
    </row>
    <row r="53" spans="1:52" x14ac:dyDescent="0.2">
      <c r="A53" s="16" t="s">
        <v>64</v>
      </c>
      <c r="B53" s="74" t="str">
        <f>IFERROR(Data!B63,"")</f>
        <v/>
      </c>
      <c r="C53" s="75"/>
      <c r="D53" s="76"/>
      <c r="E53" s="74" t="str">
        <f>IFERROR(Data!I63,"")</f>
        <v/>
      </c>
      <c r="F53" s="75"/>
      <c r="G53" s="76"/>
      <c r="H53" s="74" t="str">
        <f>IFERROR(Data!H63,"")</f>
        <v/>
      </c>
      <c r="I53" s="75"/>
      <c r="J53" s="76"/>
      <c r="K53" s="59" t="str">
        <f>IFERROR(Data!P63,"")</f>
        <v/>
      </c>
      <c r="L53" s="75"/>
      <c r="M53" s="76"/>
      <c r="N53" s="59" t="str">
        <f>IFERROR(Data!Q63,"")</f>
        <v/>
      </c>
      <c r="O53" s="60"/>
      <c r="P53" s="60"/>
      <c r="Q53" s="61"/>
      <c r="R53" s="62" t="str">
        <f>IFERROR(Data!U63,"")</f>
        <v/>
      </c>
      <c r="S53" s="63"/>
      <c r="T53" s="63"/>
      <c r="U53" s="64"/>
      <c r="V53" s="18"/>
      <c r="W53" s="18"/>
      <c r="X53" s="18"/>
      <c r="Y53" s="18"/>
      <c r="Z53" s="18"/>
      <c r="AA53" s="18"/>
      <c r="AB53" s="18"/>
      <c r="AC53" s="18"/>
      <c r="AD53" s="19"/>
      <c r="AE53" s="19"/>
      <c r="AF53" s="19"/>
      <c r="AG53" s="19"/>
      <c r="AH53" s="19"/>
      <c r="AI53" s="19"/>
      <c r="AJ53" s="19"/>
      <c r="AK53" s="19"/>
      <c r="AL53" s="19"/>
      <c r="AM53" s="19"/>
      <c r="AN53" s="19"/>
      <c r="AO53" s="19"/>
      <c r="AP53" s="19"/>
      <c r="AQ53" s="19"/>
      <c r="AR53" s="19"/>
      <c r="AS53" s="19"/>
      <c r="AT53" s="19"/>
      <c r="AU53" s="19"/>
      <c r="AV53" s="19"/>
      <c r="AW53" s="19"/>
      <c r="AX53" s="18"/>
      <c r="AY53" s="18"/>
      <c r="AZ53" s="18"/>
    </row>
    <row r="54" spans="1:52" x14ac:dyDescent="0.2">
      <c r="A54" s="16" t="s">
        <v>65</v>
      </c>
      <c r="B54" s="74" t="str">
        <f>IFERROR(Data!B64,"")</f>
        <v/>
      </c>
      <c r="C54" s="75"/>
      <c r="D54" s="76"/>
      <c r="E54" s="74" t="str">
        <f>IFERROR(Data!I64,"")</f>
        <v/>
      </c>
      <c r="F54" s="75"/>
      <c r="G54" s="76"/>
      <c r="H54" s="74" t="str">
        <f>IFERROR(Data!H64,"")</f>
        <v/>
      </c>
      <c r="I54" s="75"/>
      <c r="J54" s="76"/>
      <c r="K54" s="59" t="str">
        <f>IFERROR(Data!P64,"")</f>
        <v/>
      </c>
      <c r="L54" s="75"/>
      <c r="M54" s="76"/>
      <c r="N54" s="59" t="str">
        <f>IFERROR(Data!Q64,"")</f>
        <v/>
      </c>
      <c r="O54" s="60"/>
      <c r="P54" s="60"/>
      <c r="Q54" s="61"/>
      <c r="R54" s="62" t="str">
        <f>IFERROR(Data!U64,"")</f>
        <v/>
      </c>
      <c r="S54" s="63"/>
      <c r="T54" s="63"/>
      <c r="U54" s="64"/>
      <c r="V54" s="18"/>
      <c r="W54" s="18"/>
      <c r="X54" s="18"/>
      <c r="Y54" s="18"/>
      <c r="Z54" s="18"/>
      <c r="AA54" s="18"/>
      <c r="AB54" s="18"/>
      <c r="AC54" s="18"/>
      <c r="AD54" s="19"/>
      <c r="AE54" s="19"/>
      <c r="AF54" s="19"/>
      <c r="AG54" s="19"/>
      <c r="AH54" s="19"/>
      <c r="AI54" s="19"/>
      <c r="AJ54" s="19"/>
      <c r="AK54" s="19"/>
      <c r="AL54" s="19"/>
      <c r="AM54" s="19"/>
      <c r="AN54" s="19"/>
      <c r="AO54" s="19"/>
      <c r="AP54" s="19"/>
      <c r="AQ54" s="19"/>
      <c r="AR54" s="19"/>
      <c r="AS54" s="19"/>
      <c r="AT54" s="19"/>
      <c r="AU54" s="19"/>
      <c r="AV54" s="19"/>
      <c r="AW54" s="19"/>
      <c r="AX54" s="18"/>
      <c r="AY54" s="18"/>
      <c r="AZ54" s="18"/>
    </row>
    <row r="55" spans="1:52" x14ac:dyDescent="0.2">
      <c r="A55" s="16" t="s">
        <v>66</v>
      </c>
      <c r="B55" s="74" t="str">
        <f>IFERROR(Data!B65,"")</f>
        <v/>
      </c>
      <c r="C55" s="75"/>
      <c r="D55" s="76"/>
      <c r="E55" s="74" t="str">
        <f>IFERROR(Data!I65,"")</f>
        <v/>
      </c>
      <c r="F55" s="75"/>
      <c r="G55" s="76"/>
      <c r="H55" s="74" t="str">
        <f>IFERROR(Data!H65,"")</f>
        <v/>
      </c>
      <c r="I55" s="75"/>
      <c r="J55" s="76"/>
      <c r="K55" s="59" t="str">
        <f>IFERROR(Data!P65,"")</f>
        <v/>
      </c>
      <c r="L55" s="75"/>
      <c r="M55" s="76"/>
      <c r="N55" s="59" t="str">
        <f>IFERROR(Data!Q65,"")</f>
        <v/>
      </c>
      <c r="O55" s="60"/>
      <c r="P55" s="60"/>
      <c r="Q55" s="61"/>
      <c r="R55" s="62" t="str">
        <f>IFERROR(Data!U65,"")</f>
        <v/>
      </c>
      <c r="S55" s="63"/>
      <c r="T55" s="63"/>
      <c r="U55" s="64"/>
      <c r="V55" s="18"/>
      <c r="W55" s="18"/>
      <c r="X55" s="18"/>
      <c r="Y55" s="18"/>
      <c r="Z55" s="18"/>
      <c r="AA55" s="18"/>
      <c r="AB55" s="18"/>
      <c r="AC55" s="18"/>
      <c r="AD55" s="19"/>
      <c r="AE55" s="19"/>
      <c r="AF55" s="19"/>
      <c r="AG55" s="19"/>
      <c r="AH55" s="19"/>
      <c r="AI55" s="19"/>
      <c r="AJ55" s="19"/>
      <c r="AK55" s="19"/>
      <c r="AL55" s="19"/>
      <c r="AM55" s="19"/>
      <c r="AN55" s="19"/>
      <c r="AO55" s="19"/>
      <c r="AP55" s="19"/>
      <c r="AQ55" s="19"/>
      <c r="AR55" s="19"/>
      <c r="AS55" s="19"/>
      <c r="AT55" s="19"/>
      <c r="AU55" s="19"/>
      <c r="AV55" s="19"/>
      <c r="AW55" s="19"/>
      <c r="AX55" s="18"/>
      <c r="AY55" s="18"/>
      <c r="AZ55" s="18"/>
    </row>
    <row r="56" spans="1:52" x14ac:dyDescent="0.2">
      <c r="A56" s="16" t="s">
        <v>67</v>
      </c>
      <c r="B56" s="74" t="str">
        <f>IFERROR(Data!B66,"")</f>
        <v/>
      </c>
      <c r="C56" s="75"/>
      <c r="D56" s="76"/>
      <c r="E56" s="74" t="str">
        <f>IFERROR(Data!I66,"")</f>
        <v/>
      </c>
      <c r="F56" s="75"/>
      <c r="G56" s="76"/>
      <c r="H56" s="74" t="str">
        <f>IFERROR(Data!H66,"")</f>
        <v/>
      </c>
      <c r="I56" s="75"/>
      <c r="J56" s="76"/>
      <c r="K56" s="59" t="str">
        <f>IFERROR(Data!P66,"")</f>
        <v/>
      </c>
      <c r="L56" s="75"/>
      <c r="M56" s="76"/>
      <c r="N56" s="59" t="str">
        <f>IFERROR(Data!Q66,"")</f>
        <v/>
      </c>
      <c r="O56" s="60"/>
      <c r="P56" s="60"/>
      <c r="Q56" s="61"/>
      <c r="R56" s="62" t="str">
        <f>IFERROR(Data!U66,"")</f>
        <v/>
      </c>
      <c r="S56" s="63"/>
      <c r="T56" s="63"/>
      <c r="U56" s="64"/>
      <c r="V56" s="18"/>
      <c r="W56" s="18"/>
      <c r="X56" s="18"/>
      <c r="Y56" s="18"/>
      <c r="Z56" s="18"/>
      <c r="AA56" s="18"/>
      <c r="AB56" s="18"/>
      <c r="AC56" s="18"/>
      <c r="AD56" s="19"/>
      <c r="AE56" s="19"/>
      <c r="AF56" s="19"/>
      <c r="AG56" s="19"/>
      <c r="AH56" s="19"/>
      <c r="AI56" s="19"/>
      <c r="AJ56" s="19"/>
      <c r="AK56" s="19"/>
      <c r="AL56" s="19"/>
      <c r="AM56" s="19"/>
      <c r="AN56" s="19"/>
      <c r="AO56" s="19"/>
      <c r="AP56" s="19"/>
      <c r="AQ56" s="19"/>
      <c r="AR56" s="19"/>
      <c r="AS56" s="19"/>
      <c r="AT56" s="19"/>
      <c r="AU56" s="19"/>
      <c r="AV56" s="19"/>
      <c r="AW56" s="19"/>
      <c r="AX56" s="18"/>
      <c r="AY56" s="18"/>
      <c r="AZ56" s="18"/>
    </row>
    <row r="57" spans="1:52" x14ac:dyDescent="0.2">
      <c r="A57" s="16" t="s">
        <v>26</v>
      </c>
      <c r="B57" s="74" t="str">
        <f>IFERROR(Data!B67,"")</f>
        <v/>
      </c>
      <c r="C57" s="75"/>
      <c r="D57" s="76"/>
      <c r="E57" s="74" t="str">
        <f>IFERROR(Data!I67,"")</f>
        <v/>
      </c>
      <c r="F57" s="75"/>
      <c r="G57" s="76"/>
      <c r="H57" s="74" t="str">
        <f>IFERROR(Data!H67,"")</f>
        <v/>
      </c>
      <c r="I57" s="75"/>
      <c r="J57" s="76"/>
      <c r="K57" s="59" t="str">
        <f>IFERROR(Data!P67,"")</f>
        <v/>
      </c>
      <c r="L57" s="75"/>
      <c r="M57" s="76"/>
      <c r="N57" s="59" t="str">
        <f>IFERROR(Data!Q67,"")</f>
        <v/>
      </c>
      <c r="O57" s="60"/>
      <c r="P57" s="60"/>
      <c r="Q57" s="61"/>
      <c r="R57" s="62" t="str">
        <f>IFERROR(Data!U67,"")</f>
        <v/>
      </c>
      <c r="S57" s="63"/>
      <c r="T57" s="63"/>
      <c r="U57" s="64"/>
      <c r="V57" s="18"/>
      <c r="W57" s="18"/>
      <c r="X57" s="18"/>
      <c r="Y57" s="18"/>
      <c r="Z57" s="18"/>
      <c r="AA57" s="18"/>
      <c r="AB57" s="18"/>
      <c r="AC57" s="18"/>
      <c r="AD57" s="19"/>
      <c r="AE57" s="19"/>
      <c r="AF57" s="19"/>
      <c r="AG57" s="19"/>
      <c r="AH57" s="19"/>
      <c r="AI57" s="19"/>
      <c r="AJ57" s="19"/>
      <c r="AK57" s="19"/>
      <c r="AL57" s="19"/>
      <c r="AM57" s="19"/>
      <c r="AN57" s="19"/>
      <c r="AO57" s="19"/>
      <c r="AP57" s="19"/>
      <c r="AQ57" s="19"/>
      <c r="AR57" s="19"/>
      <c r="AS57" s="19"/>
      <c r="AT57" s="19"/>
      <c r="AU57" s="19"/>
      <c r="AV57" s="19"/>
      <c r="AW57" s="19"/>
      <c r="AX57" s="18"/>
      <c r="AY57" s="18"/>
      <c r="AZ57" s="18"/>
    </row>
    <row r="58" spans="1:52" x14ac:dyDescent="0.2">
      <c r="A58" s="16" t="s">
        <v>68</v>
      </c>
      <c r="B58" s="74" t="str">
        <f>IFERROR(Data!B68,"")</f>
        <v/>
      </c>
      <c r="C58" s="75"/>
      <c r="D58" s="76"/>
      <c r="E58" s="74" t="str">
        <f>IFERROR(Data!I68,"")</f>
        <v/>
      </c>
      <c r="F58" s="75"/>
      <c r="G58" s="76"/>
      <c r="H58" s="74" t="str">
        <f>IFERROR(Data!H68,"")</f>
        <v/>
      </c>
      <c r="I58" s="75"/>
      <c r="J58" s="76"/>
      <c r="K58" s="59" t="str">
        <f>IFERROR(Data!P68,"")</f>
        <v/>
      </c>
      <c r="L58" s="75"/>
      <c r="M58" s="76"/>
      <c r="N58" s="59" t="str">
        <f>IFERROR(Data!Q68,"")</f>
        <v/>
      </c>
      <c r="O58" s="60"/>
      <c r="P58" s="60"/>
      <c r="Q58" s="61"/>
      <c r="R58" s="62" t="str">
        <f>IFERROR(Data!U68,"")</f>
        <v/>
      </c>
      <c r="S58" s="63"/>
      <c r="T58" s="63"/>
      <c r="U58" s="64"/>
      <c r="V58" s="18"/>
      <c r="W58" s="18"/>
      <c r="X58" s="18"/>
      <c r="Y58" s="18"/>
      <c r="Z58" s="18"/>
      <c r="AA58" s="18"/>
      <c r="AB58" s="18"/>
      <c r="AC58" s="18"/>
      <c r="AD58" s="19"/>
      <c r="AE58" s="19"/>
      <c r="AF58" s="19"/>
      <c r="AG58" s="19"/>
      <c r="AH58" s="19"/>
      <c r="AI58" s="19"/>
      <c r="AJ58" s="19"/>
      <c r="AK58" s="19"/>
      <c r="AL58" s="19"/>
      <c r="AM58" s="19"/>
      <c r="AN58" s="19"/>
      <c r="AO58" s="19"/>
      <c r="AP58" s="19"/>
      <c r="AQ58" s="19"/>
      <c r="AR58" s="19"/>
      <c r="AS58" s="19"/>
      <c r="AT58" s="19"/>
      <c r="AU58" s="19"/>
      <c r="AV58" s="19"/>
      <c r="AW58" s="19"/>
      <c r="AX58" s="18"/>
      <c r="AY58" s="18"/>
      <c r="AZ58" s="18"/>
    </row>
    <row r="59" spans="1:52" x14ac:dyDescent="0.2">
      <c r="A59" s="16" t="s">
        <v>69</v>
      </c>
      <c r="B59" s="74" t="str">
        <f>IFERROR(Data!B69,"")</f>
        <v/>
      </c>
      <c r="C59" s="75"/>
      <c r="D59" s="76"/>
      <c r="E59" s="74" t="str">
        <f>IFERROR(Data!I69,"")</f>
        <v/>
      </c>
      <c r="F59" s="75"/>
      <c r="G59" s="76"/>
      <c r="H59" s="74" t="str">
        <f>IFERROR(Data!H69,"")</f>
        <v/>
      </c>
      <c r="I59" s="75"/>
      <c r="J59" s="76"/>
      <c r="K59" s="59" t="str">
        <f>IFERROR(Data!P69,"")</f>
        <v/>
      </c>
      <c r="L59" s="75"/>
      <c r="M59" s="76"/>
      <c r="N59" s="59" t="str">
        <f>IFERROR(Data!Q69,"")</f>
        <v/>
      </c>
      <c r="O59" s="60"/>
      <c r="P59" s="60"/>
      <c r="Q59" s="61"/>
      <c r="R59" s="62" t="str">
        <f>IFERROR(Data!U69,"")</f>
        <v/>
      </c>
      <c r="S59" s="63"/>
      <c r="T59" s="63"/>
      <c r="U59" s="64"/>
      <c r="V59" s="18"/>
      <c r="W59" s="18"/>
      <c r="X59" s="18"/>
      <c r="Y59" s="18"/>
      <c r="Z59" s="18"/>
      <c r="AA59" s="18"/>
      <c r="AB59" s="18"/>
      <c r="AC59" s="18"/>
      <c r="AD59" s="19"/>
      <c r="AE59" s="19"/>
      <c r="AF59" s="19"/>
      <c r="AG59" s="19"/>
      <c r="AH59" s="19"/>
      <c r="AI59" s="19"/>
      <c r="AJ59" s="19"/>
      <c r="AK59" s="19"/>
      <c r="AL59" s="19"/>
      <c r="AM59" s="19"/>
      <c r="AN59" s="19"/>
      <c r="AO59" s="19"/>
      <c r="AP59" s="19"/>
      <c r="AQ59" s="19"/>
      <c r="AR59" s="19"/>
      <c r="AS59" s="19"/>
      <c r="AT59" s="19"/>
      <c r="AU59" s="19"/>
      <c r="AV59" s="19"/>
      <c r="AW59" s="19"/>
      <c r="AX59" s="18"/>
      <c r="AY59" s="18"/>
      <c r="AZ59" s="18"/>
    </row>
    <row r="60" spans="1:52" x14ac:dyDescent="0.2">
      <c r="A60" s="16" t="s">
        <v>70</v>
      </c>
      <c r="B60" s="74" t="str">
        <f>IFERROR(Data!B70,"")</f>
        <v/>
      </c>
      <c r="C60" s="75"/>
      <c r="D60" s="76"/>
      <c r="E60" s="74" t="str">
        <f>IFERROR(Data!I70,"")</f>
        <v/>
      </c>
      <c r="F60" s="75"/>
      <c r="G60" s="76"/>
      <c r="H60" s="74" t="str">
        <f>IFERROR(Data!H70,"")</f>
        <v/>
      </c>
      <c r="I60" s="75"/>
      <c r="J60" s="76"/>
      <c r="K60" s="59" t="str">
        <f>IFERROR(Data!P70,"")</f>
        <v/>
      </c>
      <c r="L60" s="75"/>
      <c r="M60" s="76"/>
      <c r="N60" s="59" t="str">
        <f>IFERROR(Data!Q70,"")</f>
        <v/>
      </c>
      <c r="O60" s="60"/>
      <c r="P60" s="60"/>
      <c r="Q60" s="61"/>
      <c r="R60" s="62" t="str">
        <f>IFERROR(Data!U70,"")</f>
        <v/>
      </c>
      <c r="S60" s="63"/>
      <c r="T60" s="63"/>
      <c r="U60" s="64"/>
      <c r="V60" s="18"/>
      <c r="W60" s="18"/>
      <c r="X60" s="18"/>
      <c r="Y60" s="18"/>
      <c r="Z60" s="18"/>
      <c r="AA60" s="18"/>
      <c r="AB60" s="18"/>
      <c r="AC60" s="18"/>
      <c r="AD60" s="19"/>
      <c r="AE60" s="19"/>
      <c r="AF60" s="19"/>
      <c r="AG60" s="19"/>
      <c r="AH60" s="19"/>
      <c r="AI60" s="19"/>
      <c r="AJ60" s="19"/>
      <c r="AK60" s="19"/>
      <c r="AL60" s="19"/>
      <c r="AM60" s="19"/>
      <c r="AN60" s="19"/>
      <c r="AO60" s="19"/>
      <c r="AP60" s="19"/>
      <c r="AQ60" s="19"/>
      <c r="AR60" s="19"/>
      <c r="AS60" s="19"/>
      <c r="AT60" s="19"/>
      <c r="AU60" s="19"/>
      <c r="AV60" s="19"/>
      <c r="AW60" s="19"/>
      <c r="AX60" s="18"/>
      <c r="AY60" s="18"/>
      <c r="AZ60" s="18"/>
    </row>
    <row r="61" spans="1:52" x14ac:dyDescent="0.2">
      <c r="A61" s="16" t="s">
        <v>71</v>
      </c>
      <c r="B61" s="74" t="str">
        <f>IFERROR(Data!B71,"")</f>
        <v/>
      </c>
      <c r="C61" s="75"/>
      <c r="D61" s="76"/>
      <c r="E61" s="74" t="str">
        <f>IFERROR(Data!I71,"")</f>
        <v/>
      </c>
      <c r="F61" s="75"/>
      <c r="G61" s="76"/>
      <c r="H61" s="74" t="str">
        <f>IFERROR(Data!H71,"")</f>
        <v/>
      </c>
      <c r="I61" s="75"/>
      <c r="J61" s="76"/>
      <c r="K61" s="59" t="str">
        <f>IFERROR(Data!P71,"")</f>
        <v/>
      </c>
      <c r="L61" s="75"/>
      <c r="M61" s="76"/>
      <c r="N61" s="59" t="str">
        <f>IFERROR(Data!Q71,"")</f>
        <v/>
      </c>
      <c r="O61" s="60"/>
      <c r="P61" s="60"/>
      <c r="Q61" s="61"/>
      <c r="R61" s="62" t="str">
        <f>IFERROR(Data!U71,"")</f>
        <v/>
      </c>
      <c r="S61" s="63"/>
      <c r="T61" s="63"/>
      <c r="U61" s="64"/>
      <c r="V61" s="18"/>
      <c r="W61" s="18"/>
      <c r="X61" s="18"/>
      <c r="Y61" s="18"/>
      <c r="Z61" s="18"/>
      <c r="AA61" s="18"/>
      <c r="AB61" s="18"/>
      <c r="AC61" s="18"/>
      <c r="AD61" s="19"/>
      <c r="AE61" s="19"/>
      <c r="AF61" s="19"/>
      <c r="AG61" s="19"/>
      <c r="AH61" s="19"/>
      <c r="AI61" s="19"/>
      <c r="AJ61" s="19"/>
      <c r="AK61" s="19"/>
      <c r="AL61" s="19"/>
      <c r="AM61" s="19"/>
      <c r="AN61" s="19"/>
      <c r="AO61" s="19"/>
      <c r="AP61" s="19"/>
      <c r="AQ61" s="19"/>
      <c r="AR61" s="19"/>
      <c r="AS61" s="19"/>
      <c r="AT61" s="19"/>
      <c r="AU61" s="19"/>
      <c r="AV61" s="19"/>
      <c r="AW61" s="19"/>
      <c r="AX61" s="18"/>
      <c r="AY61" s="18"/>
      <c r="AZ61" s="18"/>
    </row>
    <row r="62" spans="1:52" x14ac:dyDescent="0.2">
      <c r="A62" s="16" t="s">
        <v>72</v>
      </c>
      <c r="B62" s="74" t="str">
        <f>IFERROR(Data!B72,"")</f>
        <v/>
      </c>
      <c r="C62" s="75"/>
      <c r="D62" s="76"/>
      <c r="E62" s="74" t="str">
        <f>IFERROR(Data!I72,"")</f>
        <v/>
      </c>
      <c r="F62" s="75"/>
      <c r="G62" s="76"/>
      <c r="H62" s="74" t="str">
        <f>IFERROR(Data!H72,"")</f>
        <v/>
      </c>
      <c r="I62" s="75"/>
      <c r="J62" s="76"/>
      <c r="K62" s="59" t="str">
        <f>IFERROR(Data!P72,"")</f>
        <v/>
      </c>
      <c r="L62" s="75"/>
      <c r="M62" s="76"/>
      <c r="N62" s="59" t="str">
        <f>IFERROR(Data!Q72,"")</f>
        <v/>
      </c>
      <c r="O62" s="60"/>
      <c r="P62" s="60"/>
      <c r="Q62" s="61"/>
      <c r="R62" s="62" t="str">
        <f>IFERROR(Data!U72,"")</f>
        <v/>
      </c>
      <c r="S62" s="63"/>
      <c r="T62" s="63"/>
      <c r="U62" s="64"/>
      <c r="V62" s="18"/>
      <c r="W62" s="18"/>
      <c r="X62" s="18"/>
      <c r="Y62" s="18"/>
      <c r="Z62" s="18"/>
      <c r="AA62" s="18"/>
      <c r="AB62" s="18"/>
      <c r="AC62" s="18"/>
      <c r="AD62" s="19"/>
      <c r="AE62" s="19"/>
      <c r="AF62" s="19"/>
      <c r="AG62" s="19"/>
      <c r="AH62" s="19"/>
      <c r="AI62" s="19"/>
      <c r="AJ62" s="19"/>
      <c r="AK62" s="19"/>
      <c r="AL62" s="19"/>
      <c r="AM62" s="19"/>
      <c r="AN62" s="19"/>
      <c r="AO62" s="19"/>
      <c r="AP62" s="19"/>
      <c r="AQ62" s="19"/>
      <c r="AR62" s="19"/>
      <c r="AS62" s="19"/>
      <c r="AT62" s="19"/>
      <c r="AU62" s="19"/>
      <c r="AV62" s="19"/>
      <c r="AW62" s="19"/>
      <c r="AX62" s="18"/>
      <c r="AY62" s="18"/>
      <c r="AZ62" s="18"/>
    </row>
    <row r="63" spans="1:52" x14ac:dyDescent="0.2">
      <c r="A63" s="16" t="s">
        <v>73</v>
      </c>
      <c r="B63" s="74" t="str">
        <f>IFERROR(Data!B73,"")</f>
        <v/>
      </c>
      <c r="C63" s="75"/>
      <c r="D63" s="76"/>
      <c r="E63" s="74" t="str">
        <f>IFERROR(Data!I73,"")</f>
        <v/>
      </c>
      <c r="F63" s="75"/>
      <c r="G63" s="76"/>
      <c r="H63" s="74" t="str">
        <f>IFERROR(Data!H73,"")</f>
        <v/>
      </c>
      <c r="I63" s="75"/>
      <c r="J63" s="76"/>
      <c r="K63" s="59" t="str">
        <f>IFERROR(Data!P73,"")</f>
        <v/>
      </c>
      <c r="L63" s="75"/>
      <c r="M63" s="76"/>
      <c r="N63" s="59" t="str">
        <f>IFERROR(Data!Q73,"")</f>
        <v/>
      </c>
      <c r="O63" s="60"/>
      <c r="P63" s="60"/>
      <c r="Q63" s="61"/>
      <c r="R63" s="62" t="str">
        <f>IFERROR(Data!U73,"")</f>
        <v/>
      </c>
      <c r="S63" s="63"/>
      <c r="T63" s="63"/>
      <c r="U63" s="64"/>
      <c r="V63" s="18"/>
      <c r="W63" s="18"/>
      <c r="X63" s="18"/>
      <c r="Y63" s="18"/>
      <c r="Z63" s="18"/>
      <c r="AA63" s="18"/>
      <c r="AB63" s="18"/>
      <c r="AC63" s="18"/>
      <c r="AD63" s="19"/>
      <c r="AE63" s="19"/>
      <c r="AF63" s="19"/>
      <c r="AG63" s="19"/>
      <c r="AH63" s="19"/>
      <c r="AI63" s="19"/>
      <c r="AJ63" s="19"/>
      <c r="AK63" s="19"/>
      <c r="AL63" s="19"/>
      <c r="AM63" s="19"/>
      <c r="AN63" s="19"/>
      <c r="AO63" s="19"/>
      <c r="AP63" s="19"/>
      <c r="AQ63" s="19"/>
      <c r="AR63" s="19"/>
      <c r="AS63" s="19"/>
      <c r="AT63" s="19"/>
      <c r="AU63" s="19"/>
      <c r="AV63" s="19"/>
      <c r="AW63" s="19"/>
      <c r="AX63" s="18"/>
      <c r="AY63" s="18"/>
      <c r="AZ63" s="18"/>
    </row>
    <row r="64" spans="1:52" x14ac:dyDescent="0.2">
      <c r="A64" s="16" t="s">
        <v>27</v>
      </c>
      <c r="B64" s="74" t="str">
        <f>IFERROR(Data!B74,"")</f>
        <v/>
      </c>
      <c r="C64" s="75"/>
      <c r="D64" s="76"/>
      <c r="E64" s="74" t="str">
        <f>IFERROR(Data!I74,"")</f>
        <v/>
      </c>
      <c r="F64" s="75"/>
      <c r="G64" s="76"/>
      <c r="H64" s="74" t="str">
        <f>IFERROR(Data!H74,"")</f>
        <v/>
      </c>
      <c r="I64" s="75"/>
      <c r="J64" s="76"/>
      <c r="K64" s="59" t="str">
        <f>IFERROR(Data!P74,"")</f>
        <v/>
      </c>
      <c r="L64" s="75"/>
      <c r="M64" s="76"/>
      <c r="N64" s="59" t="str">
        <f>IFERROR(Data!Q74,"")</f>
        <v/>
      </c>
      <c r="O64" s="60"/>
      <c r="P64" s="60"/>
      <c r="Q64" s="61"/>
      <c r="R64" s="62" t="str">
        <f>IFERROR(Data!U74,"")</f>
        <v/>
      </c>
      <c r="S64" s="63"/>
      <c r="T64" s="63"/>
      <c r="U64" s="64"/>
      <c r="V64" s="18"/>
      <c r="W64" s="18"/>
      <c r="X64" s="18"/>
      <c r="Y64" s="18"/>
      <c r="Z64" s="18"/>
      <c r="AA64" s="18"/>
      <c r="AB64" s="18"/>
      <c r="AC64" s="18"/>
      <c r="AD64" s="19"/>
      <c r="AE64" s="19"/>
      <c r="AF64" s="19"/>
      <c r="AG64" s="19"/>
      <c r="AH64" s="19"/>
      <c r="AI64" s="19"/>
      <c r="AJ64" s="19"/>
      <c r="AK64" s="19"/>
      <c r="AL64" s="19"/>
      <c r="AM64" s="19"/>
      <c r="AN64" s="19"/>
      <c r="AO64" s="19"/>
      <c r="AP64" s="19"/>
      <c r="AQ64" s="19"/>
      <c r="AR64" s="19"/>
      <c r="AS64" s="19"/>
      <c r="AT64" s="19"/>
      <c r="AU64" s="19"/>
      <c r="AV64" s="19"/>
      <c r="AW64" s="19"/>
      <c r="AX64" s="18"/>
      <c r="AY64" s="18"/>
      <c r="AZ64" s="18"/>
    </row>
    <row r="65" spans="1:52" x14ac:dyDescent="0.2">
      <c r="A65" s="16" t="s">
        <v>74</v>
      </c>
      <c r="B65" s="74" t="str">
        <f>IFERROR(Data!B75,"")</f>
        <v/>
      </c>
      <c r="C65" s="75"/>
      <c r="D65" s="76"/>
      <c r="E65" s="74" t="str">
        <f>IFERROR(Data!I75,"")</f>
        <v/>
      </c>
      <c r="F65" s="75"/>
      <c r="G65" s="76"/>
      <c r="H65" s="74" t="str">
        <f>IFERROR(Data!H75,"")</f>
        <v/>
      </c>
      <c r="I65" s="75"/>
      <c r="J65" s="76"/>
      <c r="K65" s="59" t="str">
        <f>IFERROR(Data!P75,"")</f>
        <v/>
      </c>
      <c r="L65" s="75"/>
      <c r="M65" s="76"/>
      <c r="N65" s="59" t="str">
        <f>IFERROR(Data!Q75,"")</f>
        <v/>
      </c>
      <c r="O65" s="60"/>
      <c r="P65" s="60"/>
      <c r="Q65" s="61"/>
      <c r="R65" s="62" t="str">
        <f>IFERROR(Data!U75,"")</f>
        <v/>
      </c>
      <c r="S65" s="63"/>
      <c r="T65" s="63"/>
      <c r="U65" s="64"/>
      <c r="V65" s="18"/>
      <c r="W65" s="18"/>
      <c r="X65" s="18"/>
      <c r="Y65" s="18"/>
      <c r="Z65" s="18"/>
      <c r="AA65" s="18"/>
      <c r="AB65" s="18"/>
      <c r="AC65" s="18"/>
      <c r="AD65" s="19"/>
      <c r="AE65" s="19"/>
      <c r="AF65" s="19"/>
      <c r="AG65" s="19"/>
      <c r="AH65" s="19"/>
      <c r="AI65" s="19"/>
      <c r="AJ65" s="19"/>
      <c r="AK65" s="19"/>
      <c r="AL65" s="19"/>
      <c r="AM65" s="19"/>
      <c r="AN65" s="19"/>
      <c r="AO65" s="19"/>
      <c r="AP65" s="19"/>
      <c r="AQ65" s="19"/>
      <c r="AR65" s="19"/>
      <c r="AS65" s="19"/>
      <c r="AT65" s="19"/>
      <c r="AU65" s="19"/>
      <c r="AV65" s="19"/>
      <c r="AW65" s="19"/>
      <c r="AX65" s="18"/>
      <c r="AY65" s="18"/>
      <c r="AZ65" s="18"/>
    </row>
    <row r="66" spans="1:52" x14ac:dyDescent="0.2">
      <c r="A66" s="16" t="s">
        <v>75</v>
      </c>
      <c r="B66" s="74" t="str">
        <f>IFERROR(Data!B76,"")</f>
        <v/>
      </c>
      <c r="C66" s="75"/>
      <c r="D66" s="76"/>
      <c r="E66" s="74" t="str">
        <f>IFERROR(Data!I76,"")</f>
        <v/>
      </c>
      <c r="F66" s="75"/>
      <c r="G66" s="76"/>
      <c r="H66" s="74" t="str">
        <f>IFERROR(Data!H76,"")</f>
        <v/>
      </c>
      <c r="I66" s="75"/>
      <c r="J66" s="76"/>
      <c r="K66" s="59" t="str">
        <f>IFERROR(Data!P76,"")</f>
        <v/>
      </c>
      <c r="L66" s="75"/>
      <c r="M66" s="76"/>
      <c r="N66" s="59" t="str">
        <f>IFERROR(Data!Q76,"")</f>
        <v/>
      </c>
      <c r="O66" s="60"/>
      <c r="P66" s="60"/>
      <c r="Q66" s="61"/>
      <c r="R66" s="62" t="str">
        <f>IFERROR(Data!U76,"")</f>
        <v/>
      </c>
      <c r="S66" s="63"/>
      <c r="T66" s="63"/>
      <c r="U66" s="64"/>
      <c r="V66" s="18"/>
      <c r="W66" s="18"/>
      <c r="X66" s="18"/>
      <c r="Y66" s="18"/>
      <c r="Z66" s="18"/>
      <c r="AA66" s="18"/>
      <c r="AB66" s="18"/>
      <c r="AC66" s="18"/>
      <c r="AD66" s="19"/>
      <c r="AE66" s="19"/>
      <c r="AF66" s="19"/>
      <c r="AG66" s="19"/>
      <c r="AH66" s="19"/>
      <c r="AI66" s="19"/>
      <c r="AJ66" s="19"/>
      <c r="AK66" s="19"/>
      <c r="AL66" s="19"/>
      <c r="AM66" s="19"/>
      <c r="AN66" s="19"/>
      <c r="AO66" s="19"/>
      <c r="AP66" s="19"/>
      <c r="AQ66" s="19"/>
      <c r="AR66" s="19"/>
      <c r="AS66" s="19"/>
      <c r="AT66" s="19"/>
      <c r="AU66" s="19"/>
      <c r="AV66" s="19"/>
      <c r="AW66" s="19"/>
      <c r="AX66" s="18"/>
      <c r="AY66" s="18"/>
      <c r="AZ66" s="18"/>
    </row>
    <row r="67" spans="1:52" x14ac:dyDescent="0.2">
      <c r="A67" s="16" t="s">
        <v>76</v>
      </c>
      <c r="B67" s="74" t="str">
        <f>IFERROR(Data!B77,"")</f>
        <v/>
      </c>
      <c r="C67" s="75"/>
      <c r="D67" s="76"/>
      <c r="E67" s="74" t="str">
        <f>IFERROR(Data!I77,"")</f>
        <v/>
      </c>
      <c r="F67" s="75"/>
      <c r="G67" s="76"/>
      <c r="H67" s="74" t="str">
        <f>IFERROR(Data!H77,"")</f>
        <v/>
      </c>
      <c r="I67" s="75"/>
      <c r="J67" s="76"/>
      <c r="K67" s="59" t="str">
        <f>IFERROR(Data!P77,"")</f>
        <v/>
      </c>
      <c r="L67" s="75"/>
      <c r="M67" s="76"/>
      <c r="N67" s="59" t="str">
        <f>IFERROR(Data!Q77,"")</f>
        <v/>
      </c>
      <c r="O67" s="60"/>
      <c r="P67" s="60"/>
      <c r="Q67" s="61"/>
      <c r="R67" s="62" t="str">
        <f>IFERROR(Data!U77,"")</f>
        <v/>
      </c>
      <c r="S67" s="63"/>
      <c r="T67" s="63"/>
      <c r="U67" s="64"/>
      <c r="V67" s="18"/>
      <c r="W67" s="18"/>
      <c r="X67" s="18"/>
      <c r="Y67" s="18"/>
      <c r="Z67" s="18"/>
      <c r="AA67" s="18"/>
      <c r="AB67" s="18"/>
      <c r="AC67" s="18"/>
      <c r="AD67" s="19"/>
      <c r="AE67" s="19"/>
      <c r="AF67" s="19"/>
      <c r="AG67" s="19"/>
      <c r="AH67" s="19"/>
      <c r="AI67" s="19"/>
      <c r="AJ67" s="19"/>
      <c r="AK67" s="19"/>
      <c r="AL67" s="19"/>
      <c r="AM67" s="19"/>
      <c r="AN67" s="19"/>
      <c r="AO67" s="19"/>
      <c r="AP67" s="19"/>
      <c r="AQ67" s="19"/>
      <c r="AR67" s="19"/>
      <c r="AS67" s="19"/>
      <c r="AT67" s="19"/>
      <c r="AU67" s="19"/>
      <c r="AV67" s="19"/>
      <c r="AW67" s="19"/>
      <c r="AX67" s="18"/>
      <c r="AY67" s="18"/>
      <c r="AZ67" s="18"/>
    </row>
    <row r="68" spans="1:52" x14ac:dyDescent="0.2">
      <c r="A68" s="16" t="s">
        <v>77</v>
      </c>
      <c r="B68" s="74" t="str">
        <f>IFERROR(Data!B78,"")</f>
        <v/>
      </c>
      <c r="C68" s="75"/>
      <c r="D68" s="76"/>
      <c r="E68" s="74" t="str">
        <f>IFERROR(Data!I78,"")</f>
        <v/>
      </c>
      <c r="F68" s="75"/>
      <c r="G68" s="76"/>
      <c r="H68" s="74" t="str">
        <f>IFERROR(Data!H78,"")</f>
        <v/>
      </c>
      <c r="I68" s="75"/>
      <c r="J68" s="76"/>
      <c r="K68" s="59" t="str">
        <f>IFERROR(Data!P78,"")</f>
        <v/>
      </c>
      <c r="L68" s="75"/>
      <c r="M68" s="76"/>
      <c r="N68" s="59" t="str">
        <f>IFERROR(Data!Q78,"")</f>
        <v/>
      </c>
      <c r="O68" s="60"/>
      <c r="P68" s="60"/>
      <c r="Q68" s="61"/>
      <c r="R68" s="62" t="str">
        <f>IFERROR(Data!U78,"")</f>
        <v/>
      </c>
      <c r="S68" s="63"/>
      <c r="T68" s="63"/>
      <c r="U68" s="64"/>
      <c r="V68" s="18"/>
      <c r="W68" s="18"/>
      <c r="X68" s="18"/>
      <c r="Y68" s="18"/>
      <c r="Z68" s="18"/>
      <c r="AA68" s="18"/>
      <c r="AB68" s="18"/>
      <c r="AC68" s="18"/>
      <c r="AD68" s="19"/>
      <c r="AE68" s="19"/>
      <c r="AF68" s="19"/>
      <c r="AG68" s="19"/>
      <c r="AH68" s="19"/>
      <c r="AI68" s="19"/>
      <c r="AJ68" s="19"/>
      <c r="AK68" s="19"/>
      <c r="AL68" s="19"/>
      <c r="AM68" s="19"/>
      <c r="AN68" s="19"/>
      <c r="AO68" s="19"/>
      <c r="AP68" s="19"/>
      <c r="AQ68" s="19"/>
      <c r="AR68" s="19"/>
      <c r="AS68" s="19"/>
      <c r="AT68" s="19"/>
      <c r="AU68" s="19"/>
      <c r="AV68" s="19"/>
      <c r="AW68" s="19"/>
      <c r="AX68" s="18"/>
      <c r="AY68" s="18"/>
      <c r="AZ68" s="18"/>
    </row>
    <row r="69" spans="1:52" x14ac:dyDescent="0.2">
      <c r="A69" s="16" t="s">
        <v>78</v>
      </c>
      <c r="B69" s="74" t="str">
        <f>IFERROR(Data!B79,"")</f>
        <v/>
      </c>
      <c r="C69" s="75"/>
      <c r="D69" s="76"/>
      <c r="E69" s="74" t="str">
        <f>IFERROR(Data!I79,"")</f>
        <v/>
      </c>
      <c r="F69" s="75"/>
      <c r="G69" s="76"/>
      <c r="H69" s="74" t="str">
        <f>IFERROR(Data!H79,"")</f>
        <v/>
      </c>
      <c r="I69" s="75"/>
      <c r="J69" s="76"/>
      <c r="K69" s="59" t="str">
        <f>IFERROR(Data!P79,"")</f>
        <v/>
      </c>
      <c r="L69" s="75"/>
      <c r="M69" s="76"/>
      <c r="N69" s="59" t="str">
        <f>IFERROR(Data!Q79,"")</f>
        <v/>
      </c>
      <c r="O69" s="60"/>
      <c r="P69" s="60"/>
      <c r="Q69" s="61"/>
      <c r="R69" s="62" t="str">
        <f>IFERROR(Data!U79,"")</f>
        <v/>
      </c>
      <c r="S69" s="63"/>
      <c r="T69" s="63"/>
      <c r="U69" s="64"/>
      <c r="V69" s="18"/>
      <c r="W69" s="18"/>
      <c r="X69" s="18"/>
      <c r="Y69" s="18"/>
      <c r="Z69" s="18"/>
      <c r="AA69" s="18"/>
      <c r="AB69" s="18"/>
      <c r="AC69" s="18"/>
      <c r="AD69" s="19"/>
      <c r="AE69" s="19"/>
      <c r="AF69" s="19"/>
      <c r="AG69" s="19"/>
      <c r="AH69" s="19"/>
      <c r="AI69" s="19"/>
      <c r="AJ69" s="19"/>
      <c r="AK69" s="19"/>
      <c r="AL69" s="19"/>
      <c r="AM69" s="19"/>
      <c r="AN69" s="19"/>
      <c r="AO69" s="19"/>
      <c r="AP69" s="19"/>
      <c r="AQ69" s="19"/>
      <c r="AR69" s="19"/>
      <c r="AS69" s="19"/>
      <c r="AT69" s="19"/>
      <c r="AU69" s="19"/>
      <c r="AV69" s="19"/>
      <c r="AW69" s="19"/>
      <c r="AX69" s="18"/>
      <c r="AY69" s="18"/>
      <c r="AZ69" s="18"/>
    </row>
    <row r="70" spans="1:52" x14ac:dyDescent="0.2">
      <c r="A70" s="16" t="s">
        <v>28</v>
      </c>
      <c r="B70" s="74" t="str">
        <f>IFERROR(Data!B80,"")</f>
        <v/>
      </c>
      <c r="C70" s="75"/>
      <c r="D70" s="76"/>
      <c r="E70" s="74" t="str">
        <f>IFERROR(Data!I80,"")</f>
        <v/>
      </c>
      <c r="F70" s="75"/>
      <c r="G70" s="76"/>
      <c r="H70" s="74" t="str">
        <f>IFERROR(Data!H80,"")</f>
        <v/>
      </c>
      <c r="I70" s="75"/>
      <c r="J70" s="76"/>
      <c r="K70" s="59" t="str">
        <f>IFERROR(Data!P80,"")</f>
        <v/>
      </c>
      <c r="L70" s="75"/>
      <c r="M70" s="76"/>
      <c r="N70" s="59" t="str">
        <f>IFERROR(Data!Q80,"")</f>
        <v/>
      </c>
      <c r="O70" s="60"/>
      <c r="P70" s="60"/>
      <c r="Q70" s="61"/>
      <c r="R70" s="62" t="str">
        <f>IFERROR(Data!U80,"")</f>
        <v/>
      </c>
      <c r="S70" s="63"/>
      <c r="T70" s="63"/>
      <c r="U70" s="64"/>
      <c r="V70" s="18"/>
      <c r="W70" s="18"/>
      <c r="X70" s="18"/>
      <c r="Y70" s="18"/>
      <c r="Z70" s="18"/>
      <c r="AA70" s="18"/>
      <c r="AB70" s="18"/>
      <c r="AC70" s="18"/>
      <c r="AD70" s="19"/>
      <c r="AE70" s="19"/>
      <c r="AF70" s="19"/>
      <c r="AG70" s="19"/>
      <c r="AH70" s="19"/>
      <c r="AI70" s="19"/>
      <c r="AJ70" s="19"/>
      <c r="AK70" s="19"/>
      <c r="AL70" s="19"/>
      <c r="AM70" s="19"/>
      <c r="AN70" s="19"/>
      <c r="AO70" s="19"/>
      <c r="AP70" s="19"/>
      <c r="AQ70" s="19"/>
      <c r="AR70" s="19"/>
      <c r="AS70" s="19"/>
      <c r="AT70" s="19"/>
      <c r="AU70" s="19"/>
      <c r="AV70" s="19"/>
      <c r="AW70" s="19"/>
      <c r="AX70" s="18"/>
      <c r="AY70" s="18"/>
      <c r="AZ70" s="18"/>
    </row>
    <row r="71" spans="1:52" x14ac:dyDescent="0.2">
      <c r="A71" s="16" t="s">
        <v>79</v>
      </c>
      <c r="B71" s="74" t="str">
        <f>IFERROR(Data!B81,"")</f>
        <v/>
      </c>
      <c r="C71" s="75"/>
      <c r="D71" s="76"/>
      <c r="E71" s="74" t="str">
        <f>IFERROR(Data!I81,"")</f>
        <v/>
      </c>
      <c r="F71" s="75"/>
      <c r="G71" s="76"/>
      <c r="H71" s="74" t="str">
        <f>IFERROR(Data!H81,"")</f>
        <v/>
      </c>
      <c r="I71" s="75"/>
      <c r="J71" s="76"/>
      <c r="K71" s="59" t="str">
        <f>IFERROR(Data!P81,"")</f>
        <v/>
      </c>
      <c r="L71" s="75"/>
      <c r="M71" s="76"/>
      <c r="N71" s="59" t="str">
        <f>IFERROR(Data!Q81,"")</f>
        <v/>
      </c>
      <c r="O71" s="60"/>
      <c r="P71" s="60"/>
      <c r="Q71" s="61"/>
      <c r="R71" s="62" t="str">
        <f>IFERROR(Data!U81,"")</f>
        <v/>
      </c>
      <c r="S71" s="63"/>
      <c r="T71" s="63"/>
      <c r="U71" s="64"/>
      <c r="V71" s="18"/>
      <c r="W71" s="18"/>
      <c r="X71" s="18"/>
      <c r="Y71" s="18"/>
      <c r="Z71" s="18"/>
      <c r="AA71" s="18"/>
      <c r="AB71" s="18"/>
      <c r="AC71" s="18"/>
      <c r="AD71" s="19"/>
      <c r="AE71" s="19"/>
      <c r="AF71" s="19"/>
      <c r="AG71" s="19"/>
      <c r="AH71" s="19"/>
      <c r="AI71" s="19"/>
      <c r="AJ71" s="19"/>
      <c r="AK71" s="19"/>
      <c r="AL71" s="19"/>
      <c r="AM71" s="19"/>
      <c r="AN71" s="19"/>
      <c r="AO71" s="19"/>
      <c r="AP71" s="19"/>
      <c r="AQ71" s="19"/>
      <c r="AR71" s="19"/>
      <c r="AS71" s="19"/>
      <c r="AT71" s="19"/>
      <c r="AU71" s="19"/>
      <c r="AV71" s="19"/>
      <c r="AW71" s="19"/>
      <c r="AX71" s="18"/>
      <c r="AY71" s="18"/>
      <c r="AZ71" s="18"/>
    </row>
    <row r="72" spans="1:52" x14ac:dyDescent="0.2">
      <c r="A72" s="16" t="s">
        <v>80</v>
      </c>
      <c r="B72" s="74" t="str">
        <f>IFERROR(Data!B82,"")</f>
        <v/>
      </c>
      <c r="C72" s="75"/>
      <c r="D72" s="76"/>
      <c r="E72" s="74" t="str">
        <f>IFERROR(Data!I82,"")</f>
        <v/>
      </c>
      <c r="F72" s="75"/>
      <c r="G72" s="76"/>
      <c r="H72" s="74" t="str">
        <f>IFERROR(Data!H82,"")</f>
        <v/>
      </c>
      <c r="I72" s="75"/>
      <c r="J72" s="76"/>
      <c r="K72" s="59" t="str">
        <f>IFERROR(Data!P82,"")</f>
        <v/>
      </c>
      <c r="L72" s="75"/>
      <c r="M72" s="76"/>
      <c r="N72" s="59" t="str">
        <f>IFERROR(Data!Q82,"")</f>
        <v/>
      </c>
      <c r="O72" s="60"/>
      <c r="P72" s="60"/>
      <c r="Q72" s="61"/>
      <c r="R72" s="62" t="str">
        <f>IFERROR(Data!U82,"")</f>
        <v/>
      </c>
      <c r="S72" s="63"/>
      <c r="T72" s="63"/>
      <c r="U72" s="64"/>
      <c r="V72" s="18"/>
      <c r="W72" s="18"/>
      <c r="X72" s="18"/>
      <c r="Y72" s="18"/>
      <c r="Z72" s="18"/>
      <c r="AA72" s="18"/>
      <c r="AB72" s="18"/>
      <c r="AC72" s="18"/>
      <c r="AD72" s="19"/>
      <c r="AE72" s="19"/>
      <c r="AF72" s="19"/>
      <c r="AG72" s="19"/>
      <c r="AH72" s="19"/>
      <c r="AI72" s="19"/>
      <c r="AJ72" s="19"/>
      <c r="AK72" s="19"/>
      <c r="AL72" s="19"/>
      <c r="AM72" s="19"/>
      <c r="AN72" s="19"/>
      <c r="AO72" s="19"/>
      <c r="AP72" s="19"/>
      <c r="AQ72" s="19"/>
      <c r="AR72" s="19"/>
      <c r="AS72" s="19"/>
      <c r="AT72" s="19"/>
      <c r="AU72" s="19"/>
      <c r="AV72" s="19"/>
      <c r="AW72" s="19"/>
      <c r="AX72" s="18"/>
      <c r="AY72" s="18"/>
      <c r="AZ72" s="18"/>
    </row>
    <row r="73" spans="1:52" x14ac:dyDescent="0.2">
      <c r="A73" s="16" t="s">
        <v>81</v>
      </c>
      <c r="B73" s="74" t="str">
        <f>IFERROR(Data!B83,"")</f>
        <v/>
      </c>
      <c r="C73" s="75"/>
      <c r="D73" s="76"/>
      <c r="E73" s="74" t="str">
        <f>IFERROR(Data!I83,"")</f>
        <v/>
      </c>
      <c r="F73" s="75"/>
      <c r="G73" s="76"/>
      <c r="H73" s="74" t="str">
        <f>IFERROR(Data!H83,"")</f>
        <v/>
      </c>
      <c r="I73" s="75"/>
      <c r="J73" s="76"/>
      <c r="K73" s="59" t="str">
        <f>IFERROR(Data!P83,"")</f>
        <v/>
      </c>
      <c r="L73" s="75"/>
      <c r="M73" s="76"/>
      <c r="N73" s="59" t="str">
        <f>IFERROR(Data!Q83,"")</f>
        <v/>
      </c>
      <c r="O73" s="60"/>
      <c r="P73" s="60"/>
      <c r="Q73" s="61"/>
      <c r="R73" s="62" t="str">
        <f>IFERROR(Data!U83,"")</f>
        <v/>
      </c>
      <c r="S73" s="63"/>
      <c r="T73" s="63"/>
      <c r="U73" s="64"/>
      <c r="V73" s="18"/>
      <c r="W73" s="18"/>
      <c r="X73" s="18"/>
      <c r="Y73" s="18"/>
      <c r="Z73" s="18"/>
      <c r="AA73" s="18"/>
      <c r="AB73" s="18"/>
      <c r="AC73" s="18"/>
      <c r="AD73" s="19"/>
      <c r="AE73" s="19"/>
      <c r="AF73" s="19"/>
      <c r="AG73" s="19"/>
      <c r="AH73" s="19"/>
      <c r="AI73" s="19"/>
      <c r="AJ73" s="19"/>
      <c r="AK73" s="19"/>
      <c r="AL73" s="19"/>
      <c r="AM73" s="19"/>
      <c r="AN73" s="19"/>
      <c r="AO73" s="19"/>
      <c r="AP73" s="19"/>
      <c r="AQ73" s="19"/>
      <c r="AR73" s="19"/>
      <c r="AS73" s="19"/>
      <c r="AT73" s="19"/>
      <c r="AU73" s="19"/>
      <c r="AV73" s="19"/>
      <c r="AW73" s="19"/>
      <c r="AX73" s="18"/>
      <c r="AY73" s="18"/>
      <c r="AZ73" s="18"/>
    </row>
    <row r="74" spans="1:52" x14ac:dyDescent="0.2">
      <c r="A74" s="16" t="s">
        <v>82</v>
      </c>
      <c r="B74" s="74" t="str">
        <f>IFERROR(Data!B84,"")</f>
        <v/>
      </c>
      <c r="C74" s="75"/>
      <c r="D74" s="76"/>
      <c r="E74" s="74" t="str">
        <f>IFERROR(Data!I84,"")</f>
        <v/>
      </c>
      <c r="F74" s="75"/>
      <c r="G74" s="76"/>
      <c r="H74" s="74" t="str">
        <f>IFERROR(Data!H84,"")</f>
        <v/>
      </c>
      <c r="I74" s="75"/>
      <c r="J74" s="76"/>
      <c r="K74" s="59" t="str">
        <f>IFERROR(Data!P84,"")</f>
        <v/>
      </c>
      <c r="L74" s="75"/>
      <c r="M74" s="76"/>
      <c r="N74" s="59" t="str">
        <f>IFERROR(Data!Q84,"")</f>
        <v/>
      </c>
      <c r="O74" s="60"/>
      <c r="P74" s="60"/>
      <c r="Q74" s="61"/>
      <c r="R74" s="62" t="str">
        <f>IFERROR(Data!U84,"")</f>
        <v/>
      </c>
      <c r="S74" s="63"/>
      <c r="T74" s="63"/>
      <c r="U74" s="64"/>
      <c r="V74" s="18"/>
      <c r="W74" s="18"/>
      <c r="X74" s="18"/>
      <c r="Y74" s="18"/>
      <c r="Z74" s="18"/>
      <c r="AA74" s="18"/>
      <c r="AB74" s="18"/>
      <c r="AC74" s="18"/>
      <c r="AD74" s="19"/>
      <c r="AE74" s="19"/>
      <c r="AF74" s="19"/>
      <c r="AG74" s="19"/>
      <c r="AH74" s="19"/>
      <c r="AI74" s="19"/>
      <c r="AJ74" s="19"/>
      <c r="AK74" s="19"/>
      <c r="AL74" s="19"/>
      <c r="AM74" s="19"/>
      <c r="AN74" s="19"/>
      <c r="AO74" s="19"/>
      <c r="AP74" s="19"/>
      <c r="AQ74" s="19"/>
      <c r="AR74" s="19"/>
      <c r="AS74" s="19"/>
      <c r="AT74" s="19"/>
      <c r="AU74" s="19"/>
      <c r="AV74" s="19"/>
      <c r="AW74" s="19"/>
      <c r="AX74" s="18"/>
      <c r="AY74" s="18"/>
      <c r="AZ74" s="18"/>
    </row>
    <row r="75" spans="1:52" x14ac:dyDescent="0.2">
      <c r="A75" s="16" t="s">
        <v>29</v>
      </c>
      <c r="B75" s="74" t="str">
        <f>IFERROR(Data!B85,"")</f>
        <v/>
      </c>
      <c r="C75" s="75"/>
      <c r="D75" s="76"/>
      <c r="E75" s="74" t="str">
        <f>IFERROR(Data!I85,"")</f>
        <v/>
      </c>
      <c r="F75" s="75"/>
      <c r="G75" s="76"/>
      <c r="H75" s="74" t="str">
        <f>IFERROR(Data!H85,"")</f>
        <v/>
      </c>
      <c r="I75" s="75"/>
      <c r="J75" s="76"/>
      <c r="K75" s="59" t="str">
        <f>IFERROR(Data!P85,"")</f>
        <v/>
      </c>
      <c r="L75" s="75"/>
      <c r="M75" s="76"/>
      <c r="N75" s="59" t="str">
        <f>IFERROR(Data!Q85,"")</f>
        <v/>
      </c>
      <c r="O75" s="60"/>
      <c r="P75" s="60"/>
      <c r="Q75" s="61"/>
      <c r="R75" s="62" t="str">
        <f>IFERROR(Data!U85,"")</f>
        <v/>
      </c>
      <c r="S75" s="63"/>
      <c r="T75" s="63"/>
      <c r="U75" s="64"/>
      <c r="V75" s="18"/>
      <c r="W75" s="18"/>
      <c r="X75" s="18"/>
      <c r="Y75" s="18"/>
      <c r="Z75" s="18"/>
      <c r="AA75" s="18"/>
      <c r="AB75" s="18"/>
      <c r="AC75" s="18"/>
      <c r="AD75" s="19"/>
      <c r="AE75" s="19"/>
      <c r="AF75" s="19"/>
      <c r="AG75" s="19"/>
      <c r="AH75" s="19"/>
      <c r="AI75" s="19"/>
      <c r="AJ75" s="19"/>
      <c r="AK75" s="19"/>
      <c r="AL75" s="19"/>
      <c r="AM75" s="19"/>
      <c r="AN75" s="19"/>
      <c r="AO75" s="19"/>
      <c r="AP75" s="19"/>
      <c r="AQ75" s="19"/>
      <c r="AR75" s="19"/>
      <c r="AS75" s="19"/>
      <c r="AT75" s="19"/>
      <c r="AU75" s="19"/>
      <c r="AV75" s="19"/>
      <c r="AW75" s="19"/>
      <c r="AX75" s="18"/>
      <c r="AY75" s="18"/>
      <c r="AZ75" s="18"/>
    </row>
    <row r="76" spans="1:52" x14ac:dyDescent="0.2">
      <c r="A76" s="16" t="s">
        <v>83</v>
      </c>
      <c r="B76" s="74" t="str">
        <f>IFERROR(Data!B86,"")</f>
        <v/>
      </c>
      <c r="C76" s="75"/>
      <c r="D76" s="76"/>
      <c r="E76" s="74" t="str">
        <f>IFERROR(Data!I86,"")</f>
        <v/>
      </c>
      <c r="F76" s="75"/>
      <c r="G76" s="76"/>
      <c r="H76" s="74" t="str">
        <f>IFERROR(Data!H86,"")</f>
        <v/>
      </c>
      <c r="I76" s="75"/>
      <c r="J76" s="76"/>
      <c r="K76" s="59" t="str">
        <f>IFERROR(Data!P86,"")</f>
        <v/>
      </c>
      <c r="L76" s="75"/>
      <c r="M76" s="76"/>
      <c r="N76" s="59" t="str">
        <f>IFERROR(Data!Q86,"")</f>
        <v/>
      </c>
      <c r="O76" s="60"/>
      <c r="P76" s="60"/>
      <c r="Q76" s="61"/>
      <c r="R76" s="62" t="str">
        <f>IFERROR(Data!U86,"")</f>
        <v/>
      </c>
      <c r="S76" s="63"/>
      <c r="T76" s="63"/>
      <c r="U76" s="64"/>
      <c r="V76" s="18"/>
      <c r="W76" s="18"/>
      <c r="X76" s="18"/>
      <c r="Y76" s="18"/>
      <c r="Z76" s="18"/>
      <c r="AA76" s="18"/>
      <c r="AB76" s="18"/>
      <c r="AC76" s="18"/>
      <c r="AD76" s="19"/>
      <c r="AE76" s="19"/>
      <c r="AF76" s="19"/>
      <c r="AG76" s="19"/>
      <c r="AH76" s="19"/>
      <c r="AI76" s="19"/>
      <c r="AJ76" s="19"/>
      <c r="AK76" s="19"/>
      <c r="AL76" s="19"/>
      <c r="AM76" s="19"/>
      <c r="AN76" s="19"/>
      <c r="AO76" s="19"/>
      <c r="AP76" s="19"/>
      <c r="AQ76" s="19"/>
      <c r="AR76" s="19"/>
      <c r="AS76" s="19"/>
      <c r="AT76" s="19"/>
      <c r="AU76" s="19"/>
      <c r="AV76" s="19"/>
      <c r="AW76" s="19"/>
      <c r="AX76" s="18"/>
      <c r="AY76" s="18"/>
      <c r="AZ76" s="18"/>
    </row>
    <row r="77" spans="1:52" x14ac:dyDescent="0.2">
      <c r="A77" s="16" t="s">
        <v>84</v>
      </c>
      <c r="B77" s="74" t="str">
        <f>IFERROR(Data!B87,"")</f>
        <v/>
      </c>
      <c r="C77" s="75"/>
      <c r="D77" s="76"/>
      <c r="E77" s="74" t="str">
        <f>IFERROR(Data!I87,"")</f>
        <v/>
      </c>
      <c r="F77" s="75"/>
      <c r="G77" s="76"/>
      <c r="H77" s="74" t="str">
        <f>IFERROR(Data!H87,"")</f>
        <v/>
      </c>
      <c r="I77" s="75"/>
      <c r="J77" s="76"/>
      <c r="K77" s="59" t="str">
        <f>IFERROR(Data!P87,"")</f>
        <v/>
      </c>
      <c r="L77" s="75"/>
      <c r="M77" s="76"/>
      <c r="N77" s="59" t="str">
        <f>IFERROR(Data!Q87,"")</f>
        <v/>
      </c>
      <c r="O77" s="60"/>
      <c r="P77" s="60"/>
      <c r="Q77" s="61"/>
      <c r="R77" s="62" t="str">
        <f>IFERROR(Data!U87,"")</f>
        <v/>
      </c>
      <c r="S77" s="63"/>
      <c r="T77" s="63"/>
      <c r="U77" s="64"/>
      <c r="V77" s="18"/>
      <c r="W77" s="18"/>
      <c r="X77" s="18"/>
      <c r="Y77" s="18"/>
      <c r="Z77" s="18"/>
      <c r="AA77" s="18"/>
      <c r="AB77" s="18"/>
      <c r="AC77" s="18"/>
      <c r="AD77" s="19"/>
      <c r="AE77" s="19"/>
      <c r="AF77" s="19"/>
      <c r="AG77" s="19"/>
      <c r="AH77" s="19"/>
      <c r="AI77" s="19"/>
      <c r="AJ77" s="19"/>
      <c r="AK77" s="19"/>
      <c r="AL77" s="19"/>
      <c r="AM77" s="19"/>
      <c r="AN77" s="19"/>
      <c r="AO77" s="19"/>
      <c r="AP77" s="19"/>
      <c r="AQ77" s="19"/>
      <c r="AR77" s="19"/>
      <c r="AS77" s="19"/>
      <c r="AT77" s="19"/>
      <c r="AU77" s="19"/>
      <c r="AV77" s="19"/>
      <c r="AW77" s="19"/>
      <c r="AX77" s="18"/>
      <c r="AY77" s="18"/>
      <c r="AZ77" s="18"/>
    </row>
    <row r="78" spans="1:52" x14ac:dyDescent="0.2">
      <c r="A78" s="16" t="s">
        <v>85</v>
      </c>
      <c r="B78" s="74" t="str">
        <f>IFERROR(Data!B88,"")</f>
        <v/>
      </c>
      <c r="C78" s="75"/>
      <c r="D78" s="76"/>
      <c r="E78" s="74" t="str">
        <f>IFERROR(Data!I88,"")</f>
        <v/>
      </c>
      <c r="F78" s="75"/>
      <c r="G78" s="76"/>
      <c r="H78" s="74" t="str">
        <f>IFERROR(Data!H88,"")</f>
        <v/>
      </c>
      <c r="I78" s="75"/>
      <c r="J78" s="76"/>
      <c r="K78" s="59" t="str">
        <f>IFERROR(Data!P88,"")</f>
        <v/>
      </c>
      <c r="L78" s="75"/>
      <c r="M78" s="76"/>
      <c r="N78" s="59" t="str">
        <f>IFERROR(Data!Q88,"")</f>
        <v/>
      </c>
      <c r="O78" s="60"/>
      <c r="P78" s="60"/>
      <c r="Q78" s="61"/>
      <c r="R78" s="62" t="str">
        <f>IFERROR(Data!U88,"")</f>
        <v/>
      </c>
      <c r="S78" s="63"/>
      <c r="T78" s="63"/>
      <c r="U78" s="64"/>
      <c r="V78" s="18"/>
      <c r="W78" s="18"/>
      <c r="X78" s="18"/>
      <c r="Y78" s="18"/>
      <c r="Z78" s="18"/>
      <c r="AA78" s="18"/>
      <c r="AB78" s="18"/>
      <c r="AC78" s="18"/>
      <c r="AD78" s="19"/>
      <c r="AE78" s="19"/>
      <c r="AF78" s="19"/>
      <c r="AG78" s="19"/>
      <c r="AH78" s="19"/>
      <c r="AI78" s="19"/>
      <c r="AJ78" s="19"/>
      <c r="AK78" s="19"/>
      <c r="AL78" s="19"/>
      <c r="AM78" s="19"/>
      <c r="AN78" s="19"/>
      <c r="AO78" s="19"/>
      <c r="AP78" s="19"/>
      <c r="AQ78" s="19"/>
      <c r="AR78" s="19"/>
      <c r="AS78" s="19"/>
      <c r="AT78" s="19"/>
      <c r="AU78" s="19"/>
      <c r="AV78" s="19"/>
      <c r="AW78" s="19"/>
      <c r="AX78" s="18"/>
      <c r="AY78" s="18"/>
      <c r="AZ78" s="18"/>
    </row>
    <row r="79" spans="1:52" x14ac:dyDescent="0.2">
      <c r="A79" s="16" t="s">
        <v>30</v>
      </c>
      <c r="B79" s="74" t="str">
        <f>IFERROR(Data!B89,"")</f>
        <v/>
      </c>
      <c r="C79" s="75"/>
      <c r="D79" s="76"/>
      <c r="E79" s="74" t="str">
        <f>IFERROR(Data!I89,"")</f>
        <v/>
      </c>
      <c r="F79" s="75"/>
      <c r="G79" s="76"/>
      <c r="H79" s="74" t="str">
        <f>IFERROR(Data!H89,"")</f>
        <v/>
      </c>
      <c r="I79" s="75"/>
      <c r="J79" s="76"/>
      <c r="K79" s="59" t="str">
        <f>IFERROR(Data!P89,"")</f>
        <v/>
      </c>
      <c r="L79" s="75"/>
      <c r="M79" s="76"/>
      <c r="N79" s="59" t="str">
        <f>IFERROR(Data!Q89,"")</f>
        <v/>
      </c>
      <c r="O79" s="60"/>
      <c r="P79" s="60"/>
      <c r="Q79" s="61"/>
      <c r="R79" s="62" t="str">
        <f>IFERROR(Data!U89,"")</f>
        <v/>
      </c>
      <c r="S79" s="63"/>
      <c r="T79" s="63"/>
      <c r="U79" s="64"/>
      <c r="V79" s="18"/>
      <c r="W79" s="18"/>
      <c r="X79" s="18"/>
      <c r="Y79" s="18"/>
      <c r="Z79" s="18"/>
      <c r="AA79" s="18"/>
      <c r="AB79" s="18"/>
      <c r="AC79" s="18"/>
      <c r="AD79" s="19"/>
      <c r="AE79" s="19"/>
      <c r="AF79" s="19"/>
      <c r="AG79" s="19"/>
      <c r="AH79" s="19"/>
      <c r="AI79" s="19"/>
      <c r="AJ79" s="19"/>
      <c r="AK79" s="19"/>
      <c r="AL79" s="19"/>
      <c r="AM79" s="19"/>
      <c r="AN79" s="19"/>
      <c r="AO79" s="19"/>
      <c r="AP79" s="19"/>
      <c r="AQ79" s="19"/>
      <c r="AR79" s="19"/>
      <c r="AS79" s="19"/>
      <c r="AT79" s="19"/>
      <c r="AU79" s="19"/>
      <c r="AV79" s="19"/>
      <c r="AW79" s="19"/>
      <c r="AX79" s="18"/>
      <c r="AY79" s="18"/>
      <c r="AZ79" s="18"/>
    </row>
    <row r="80" spans="1:52" x14ac:dyDescent="0.2">
      <c r="A80" s="16" t="s">
        <v>86</v>
      </c>
      <c r="B80" s="74" t="str">
        <f>IFERROR(Data!B90,"")</f>
        <v/>
      </c>
      <c r="C80" s="75"/>
      <c r="D80" s="76"/>
      <c r="E80" s="74" t="str">
        <f>IFERROR(Data!I90,"")</f>
        <v/>
      </c>
      <c r="F80" s="75"/>
      <c r="G80" s="76"/>
      <c r="H80" s="74" t="str">
        <f>IFERROR(Data!H90,"")</f>
        <v/>
      </c>
      <c r="I80" s="75"/>
      <c r="J80" s="76"/>
      <c r="K80" s="59" t="str">
        <f>IFERROR(Data!P90,"")</f>
        <v/>
      </c>
      <c r="L80" s="75"/>
      <c r="M80" s="76"/>
      <c r="N80" s="59" t="str">
        <f>IFERROR(Data!Q90,"")</f>
        <v/>
      </c>
      <c r="O80" s="60"/>
      <c r="P80" s="60"/>
      <c r="Q80" s="61"/>
      <c r="R80" s="62" t="str">
        <f>IFERROR(Data!U90,"")</f>
        <v/>
      </c>
      <c r="S80" s="63"/>
      <c r="T80" s="63"/>
      <c r="U80" s="64"/>
      <c r="V80" s="18"/>
      <c r="W80" s="18"/>
      <c r="X80" s="18"/>
      <c r="Y80" s="18"/>
      <c r="Z80" s="18"/>
      <c r="AA80" s="18"/>
      <c r="AB80" s="18"/>
      <c r="AC80" s="18"/>
      <c r="AD80" s="19"/>
      <c r="AE80" s="19"/>
      <c r="AF80" s="19"/>
      <c r="AG80" s="19"/>
      <c r="AH80" s="19"/>
      <c r="AI80" s="19"/>
      <c r="AJ80" s="19"/>
      <c r="AK80" s="19"/>
      <c r="AL80" s="19"/>
      <c r="AM80" s="19"/>
      <c r="AN80" s="19"/>
      <c r="AO80" s="19"/>
      <c r="AP80" s="19"/>
      <c r="AQ80" s="19"/>
      <c r="AR80" s="19"/>
      <c r="AS80" s="19"/>
      <c r="AT80" s="19"/>
      <c r="AU80" s="19"/>
      <c r="AV80" s="19"/>
      <c r="AW80" s="19"/>
      <c r="AX80" s="18"/>
      <c r="AY80" s="18"/>
      <c r="AZ80" s="18"/>
    </row>
    <row r="81" spans="1:52" x14ac:dyDescent="0.2">
      <c r="A81" s="16" t="s">
        <v>87</v>
      </c>
      <c r="B81" s="74" t="str">
        <f>IFERROR(Data!B91,"")</f>
        <v/>
      </c>
      <c r="C81" s="75"/>
      <c r="D81" s="76"/>
      <c r="E81" s="74" t="str">
        <f>IFERROR(Data!I91,"")</f>
        <v/>
      </c>
      <c r="F81" s="75"/>
      <c r="G81" s="76"/>
      <c r="H81" s="74" t="str">
        <f>IFERROR(Data!H91,"")</f>
        <v/>
      </c>
      <c r="I81" s="75"/>
      <c r="J81" s="76"/>
      <c r="K81" s="59" t="str">
        <f>IFERROR(Data!P91,"")</f>
        <v/>
      </c>
      <c r="L81" s="75"/>
      <c r="M81" s="76"/>
      <c r="N81" s="59" t="str">
        <f>IFERROR(Data!Q91,"")</f>
        <v/>
      </c>
      <c r="O81" s="60"/>
      <c r="P81" s="60"/>
      <c r="Q81" s="61"/>
      <c r="R81" s="62" t="str">
        <f>IFERROR(Data!U91,"")</f>
        <v/>
      </c>
      <c r="S81" s="63"/>
      <c r="T81" s="63"/>
      <c r="U81" s="64"/>
      <c r="V81" s="18"/>
      <c r="W81" s="18"/>
      <c r="X81" s="18"/>
      <c r="Y81" s="18"/>
      <c r="Z81" s="18"/>
      <c r="AA81" s="18"/>
      <c r="AB81" s="18"/>
      <c r="AC81" s="18"/>
      <c r="AD81" s="19"/>
      <c r="AE81" s="19"/>
      <c r="AF81" s="19"/>
      <c r="AG81" s="19"/>
      <c r="AH81" s="19"/>
      <c r="AI81" s="19"/>
      <c r="AJ81" s="19"/>
      <c r="AK81" s="19"/>
      <c r="AL81" s="19"/>
      <c r="AM81" s="19"/>
      <c r="AN81" s="19"/>
      <c r="AO81" s="19"/>
      <c r="AP81" s="19"/>
      <c r="AQ81" s="19"/>
      <c r="AR81" s="19"/>
      <c r="AS81" s="19"/>
      <c r="AT81" s="19"/>
      <c r="AU81" s="19"/>
      <c r="AV81" s="19"/>
      <c r="AW81" s="19"/>
      <c r="AX81" s="18"/>
      <c r="AY81" s="18"/>
      <c r="AZ81" s="18"/>
    </row>
    <row r="82" spans="1:52" x14ac:dyDescent="0.2">
      <c r="A82" s="16" t="s">
        <v>31</v>
      </c>
      <c r="B82" s="74" t="str">
        <f>IFERROR(Data!B92,"")</f>
        <v/>
      </c>
      <c r="C82" s="75"/>
      <c r="D82" s="76"/>
      <c r="E82" s="74" t="str">
        <f>IFERROR(Data!I92,"")</f>
        <v/>
      </c>
      <c r="F82" s="75"/>
      <c r="G82" s="76"/>
      <c r="H82" s="74" t="str">
        <f>IFERROR(Data!H92,"")</f>
        <v/>
      </c>
      <c r="I82" s="75"/>
      <c r="J82" s="76"/>
      <c r="K82" s="59" t="str">
        <f>IFERROR(Data!P92,"")</f>
        <v/>
      </c>
      <c r="L82" s="75"/>
      <c r="M82" s="76"/>
      <c r="N82" s="59" t="str">
        <f>IFERROR(Data!Q92,"")</f>
        <v/>
      </c>
      <c r="O82" s="60"/>
      <c r="P82" s="60"/>
      <c r="Q82" s="61"/>
      <c r="R82" s="62" t="str">
        <f>IFERROR(Data!U92,"")</f>
        <v/>
      </c>
      <c r="S82" s="63"/>
      <c r="T82" s="63"/>
      <c r="U82" s="64"/>
      <c r="V82" s="18"/>
      <c r="W82" s="18"/>
      <c r="X82" s="18"/>
      <c r="Y82" s="18"/>
      <c r="Z82" s="18"/>
      <c r="AA82" s="18"/>
      <c r="AB82" s="18"/>
      <c r="AC82" s="18"/>
      <c r="AD82" s="19"/>
      <c r="AE82" s="19"/>
      <c r="AF82" s="19"/>
      <c r="AG82" s="19"/>
      <c r="AH82" s="19"/>
      <c r="AI82" s="19"/>
      <c r="AJ82" s="19"/>
      <c r="AK82" s="19"/>
      <c r="AL82" s="19"/>
      <c r="AM82" s="19"/>
      <c r="AN82" s="19"/>
      <c r="AO82" s="19"/>
      <c r="AP82" s="19"/>
      <c r="AQ82" s="19"/>
      <c r="AR82" s="19"/>
      <c r="AS82" s="19"/>
      <c r="AT82" s="19"/>
      <c r="AU82" s="19"/>
      <c r="AV82" s="19"/>
      <c r="AW82" s="19"/>
      <c r="AX82" s="18"/>
      <c r="AY82" s="18"/>
      <c r="AZ82" s="18"/>
    </row>
    <row r="83" spans="1:52" x14ac:dyDescent="0.2">
      <c r="A83" s="16" t="s">
        <v>88</v>
      </c>
      <c r="B83" s="74" t="str">
        <f>IFERROR(Data!B93,"")</f>
        <v/>
      </c>
      <c r="C83" s="75"/>
      <c r="D83" s="76"/>
      <c r="E83" s="74" t="str">
        <f>IFERROR(Data!I93,"")</f>
        <v/>
      </c>
      <c r="F83" s="75"/>
      <c r="G83" s="76"/>
      <c r="H83" s="74" t="str">
        <f>IFERROR(Data!H93,"")</f>
        <v/>
      </c>
      <c r="I83" s="75"/>
      <c r="J83" s="76"/>
      <c r="K83" s="59" t="str">
        <f>IFERROR(Data!P93,"")</f>
        <v/>
      </c>
      <c r="L83" s="75"/>
      <c r="M83" s="76"/>
      <c r="N83" s="59" t="str">
        <f>IFERROR(Data!Q93,"")</f>
        <v/>
      </c>
      <c r="O83" s="60"/>
      <c r="P83" s="60"/>
      <c r="Q83" s="61"/>
      <c r="R83" s="62" t="str">
        <f>IFERROR(Data!U93,"")</f>
        <v/>
      </c>
      <c r="S83" s="63"/>
      <c r="T83" s="63"/>
      <c r="U83" s="64"/>
      <c r="V83" s="18"/>
      <c r="W83" s="18"/>
      <c r="X83" s="18"/>
      <c r="Y83" s="18"/>
      <c r="Z83" s="18"/>
      <c r="AA83" s="18"/>
      <c r="AB83" s="18"/>
      <c r="AC83" s="18"/>
      <c r="AD83" s="19"/>
      <c r="AE83" s="19"/>
      <c r="AF83" s="19"/>
      <c r="AG83" s="19"/>
      <c r="AH83" s="19"/>
      <c r="AI83" s="19"/>
      <c r="AJ83" s="19"/>
      <c r="AK83" s="19"/>
      <c r="AL83" s="19"/>
      <c r="AM83" s="19"/>
      <c r="AN83" s="19"/>
      <c r="AO83" s="19"/>
      <c r="AP83" s="19"/>
      <c r="AQ83" s="19"/>
      <c r="AR83" s="19"/>
      <c r="AS83" s="19"/>
      <c r="AT83" s="19"/>
      <c r="AU83" s="19"/>
      <c r="AV83" s="19"/>
      <c r="AW83" s="19"/>
      <c r="AX83" s="18"/>
      <c r="AY83" s="18"/>
      <c r="AZ83" s="18"/>
    </row>
    <row r="84" spans="1:52" x14ac:dyDescent="0.2">
      <c r="A84" s="16" t="s">
        <v>32</v>
      </c>
      <c r="B84" s="74" t="str">
        <f>IFERROR(Data!B94,"")</f>
        <v/>
      </c>
      <c r="C84" s="75"/>
      <c r="D84" s="76"/>
      <c r="E84" s="74" t="str">
        <f>IFERROR(Data!I94,"")</f>
        <v/>
      </c>
      <c r="F84" s="75"/>
      <c r="G84" s="76"/>
      <c r="H84" s="74" t="str">
        <f>IFERROR(Data!H94,"")</f>
        <v/>
      </c>
      <c r="I84" s="75"/>
      <c r="J84" s="76"/>
      <c r="K84" s="59" t="str">
        <f>IFERROR(Data!P94,"")</f>
        <v/>
      </c>
      <c r="L84" s="75"/>
      <c r="M84" s="76"/>
      <c r="N84" s="59" t="str">
        <f>IFERROR(Data!Q94,"")</f>
        <v/>
      </c>
      <c r="O84" s="60"/>
      <c r="P84" s="60"/>
      <c r="Q84" s="61"/>
      <c r="R84" s="62" t="str">
        <f>IFERROR(Data!U94,"")</f>
        <v/>
      </c>
      <c r="S84" s="63"/>
      <c r="T84" s="63"/>
      <c r="U84" s="64"/>
      <c r="V84" s="18"/>
      <c r="W84" s="18"/>
      <c r="X84" s="18"/>
      <c r="Y84" s="18"/>
      <c r="Z84" s="18"/>
      <c r="AA84" s="18"/>
      <c r="AB84" s="18"/>
      <c r="AC84" s="18"/>
      <c r="AD84" s="19"/>
      <c r="AE84" s="19"/>
      <c r="AF84" s="19"/>
      <c r="AG84" s="19"/>
      <c r="AH84" s="19"/>
      <c r="AI84" s="19"/>
      <c r="AJ84" s="19"/>
      <c r="AK84" s="19"/>
      <c r="AL84" s="19"/>
      <c r="AM84" s="19"/>
      <c r="AN84" s="19"/>
      <c r="AO84" s="19"/>
      <c r="AP84" s="19"/>
      <c r="AQ84" s="19"/>
      <c r="AR84" s="19"/>
      <c r="AS84" s="19"/>
      <c r="AT84" s="19"/>
      <c r="AU84" s="19"/>
      <c r="AV84" s="19"/>
      <c r="AW84" s="19"/>
      <c r="AX84" s="18"/>
      <c r="AY84" s="18"/>
      <c r="AZ84" s="18"/>
    </row>
    <row r="85" spans="1:52" x14ac:dyDescent="0.2">
      <c r="AD85" s="19"/>
      <c r="AE85" s="19"/>
      <c r="AF85" s="19"/>
      <c r="AG85" s="19"/>
      <c r="AH85" s="19"/>
      <c r="AI85" s="19"/>
      <c r="AJ85" s="19"/>
      <c r="AK85" s="19"/>
      <c r="AL85" s="19"/>
      <c r="AM85" s="19"/>
      <c r="AN85" s="19"/>
      <c r="AO85" s="19"/>
      <c r="AP85" s="19"/>
      <c r="AQ85" s="19"/>
      <c r="AR85" s="19"/>
      <c r="AS85" s="19"/>
      <c r="AT85" s="19"/>
      <c r="AU85" s="19"/>
      <c r="AV85" s="19"/>
      <c r="AW85" s="19"/>
      <c r="AX85" s="18"/>
      <c r="AY85" s="18"/>
      <c r="AZ85" s="18"/>
    </row>
    <row r="86" spans="1:52" x14ac:dyDescent="0.2">
      <c r="AD86" s="19"/>
      <c r="AE86" s="19"/>
      <c r="AF86" s="19"/>
      <c r="AG86" s="19"/>
      <c r="AH86" s="19"/>
      <c r="AI86" s="19"/>
      <c r="AJ86" s="19"/>
      <c r="AK86" s="19"/>
      <c r="AL86" s="19"/>
      <c r="AM86" s="19"/>
      <c r="AN86" s="19"/>
      <c r="AO86" s="19"/>
      <c r="AP86" s="19"/>
      <c r="AQ86" s="19"/>
      <c r="AR86" s="19"/>
      <c r="AS86" s="19"/>
      <c r="AT86" s="19"/>
      <c r="AU86" s="19"/>
      <c r="AV86" s="19"/>
      <c r="AW86" s="19"/>
      <c r="AX86" s="18"/>
      <c r="AY86" s="18"/>
      <c r="AZ86" s="18"/>
    </row>
    <row r="87" spans="1:52" x14ac:dyDescent="0.2">
      <c r="AX87" s="18"/>
      <c r="AY87" s="18"/>
      <c r="AZ87" s="18"/>
    </row>
    <row r="88" spans="1:52" x14ac:dyDescent="0.2">
      <c r="AX88" s="18"/>
      <c r="AY88" s="18"/>
      <c r="AZ88" s="18"/>
    </row>
  </sheetData>
  <sheetProtection sheet="1" selectLockedCells="1"/>
  <mergeCells count="510">
    <mergeCell ref="AB22:AY22"/>
    <mergeCell ref="AB23:AY23"/>
    <mergeCell ref="AB11:AY14"/>
    <mergeCell ref="K84:M84"/>
    <mergeCell ref="K6:M6"/>
    <mergeCell ref="K75:M75"/>
    <mergeCell ref="K76:M76"/>
    <mergeCell ref="K77:M77"/>
    <mergeCell ref="K78:M78"/>
    <mergeCell ref="K79:M79"/>
    <mergeCell ref="K80:M80"/>
    <mergeCell ref="K81:M81"/>
    <mergeCell ref="K82:M82"/>
    <mergeCell ref="K83:M83"/>
    <mergeCell ref="K66:M66"/>
    <mergeCell ref="K67:M67"/>
    <mergeCell ref="K68:M68"/>
    <mergeCell ref="K69:M69"/>
    <mergeCell ref="K70:M70"/>
    <mergeCell ref="K71:M71"/>
    <mergeCell ref="K72:M72"/>
    <mergeCell ref="K73:M73"/>
    <mergeCell ref="K74:M74"/>
    <mergeCell ref="K48:M48"/>
    <mergeCell ref="K49:M49"/>
    <mergeCell ref="K50:M50"/>
    <mergeCell ref="H84:J84"/>
    <mergeCell ref="K7:M7"/>
    <mergeCell ref="K8:M8"/>
    <mergeCell ref="K9:M9"/>
    <mergeCell ref="K10:M10"/>
    <mergeCell ref="K11:M11"/>
    <mergeCell ref="K12:M12"/>
    <mergeCell ref="K13:M13"/>
    <mergeCell ref="K14:M14"/>
    <mergeCell ref="K15:M15"/>
    <mergeCell ref="K16:M16"/>
    <mergeCell ref="K17:M17"/>
    <mergeCell ref="K18:M18"/>
    <mergeCell ref="K19:M19"/>
    <mergeCell ref="K20:M20"/>
    <mergeCell ref="K21:M21"/>
    <mergeCell ref="K22:M22"/>
    <mergeCell ref="K23:M23"/>
    <mergeCell ref="K24:M24"/>
    <mergeCell ref="K25:M25"/>
    <mergeCell ref="K26:M26"/>
    <mergeCell ref="K27:M27"/>
    <mergeCell ref="K28:M28"/>
    <mergeCell ref="K29:M29"/>
    <mergeCell ref="E80:G80"/>
    <mergeCell ref="E65:G65"/>
    <mergeCell ref="E66:G66"/>
    <mergeCell ref="E67:G67"/>
    <mergeCell ref="E68:G68"/>
    <mergeCell ref="E51:G51"/>
    <mergeCell ref="E52:G52"/>
    <mergeCell ref="E53:G53"/>
    <mergeCell ref="E54:G54"/>
    <mergeCell ref="E55:G55"/>
    <mergeCell ref="E56:G56"/>
    <mergeCell ref="E57:G57"/>
    <mergeCell ref="E58:G58"/>
    <mergeCell ref="E59:G59"/>
    <mergeCell ref="E63:G63"/>
    <mergeCell ref="E64:G64"/>
    <mergeCell ref="E81:G81"/>
    <mergeCell ref="E82:G82"/>
    <mergeCell ref="E83:G83"/>
    <mergeCell ref="E84:G84"/>
    <mergeCell ref="E9:G9"/>
    <mergeCell ref="E10:G10"/>
    <mergeCell ref="E11:G11"/>
    <mergeCell ref="E12:G12"/>
    <mergeCell ref="E13:G13"/>
    <mergeCell ref="E14:G14"/>
    <mergeCell ref="E69:G69"/>
    <mergeCell ref="E70:G70"/>
    <mergeCell ref="E71:G71"/>
    <mergeCell ref="E72:G72"/>
    <mergeCell ref="E73:G73"/>
    <mergeCell ref="E74:G74"/>
    <mergeCell ref="E75:G75"/>
    <mergeCell ref="E76:G76"/>
    <mergeCell ref="E77:G77"/>
    <mergeCell ref="E60:G60"/>
    <mergeCell ref="E61:G61"/>
    <mergeCell ref="E62:G62"/>
    <mergeCell ref="E78:G78"/>
    <mergeCell ref="E79:G79"/>
    <mergeCell ref="AX2:AY2"/>
    <mergeCell ref="AX3:AY3"/>
    <mergeCell ref="E8:G8"/>
    <mergeCell ref="H6:J6"/>
    <mergeCell ref="H7:J7"/>
    <mergeCell ref="H8:J8"/>
    <mergeCell ref="AT3:AU3"/>
    <mergeCell ref="F2:G2"/>
    <mergeCell ref="J2:K2"/>
    <mergeCell ref="N2:O2"/>
    <mergeCell ref="R2:S2"/>
    <mergeCell ref="V2:W2"/>
    <mergeCell ref="Z2:AA2"/>
    <mergeCell ref="AD2:AE2"/>
    <mergeCell ref="AH2:AI2"/>
    <mergeCell ref="AL2:AM2"/>
    <mergeCell ref="AP2:AQ2"/>
    <mergeCell ref="AT2:AU2"/>
    <mergeCell ref="J3:K3"/>
    <mergeCell ref="N3:O3"/>
    <mergeCell ref="R3:S3"/>
    <mergeCell ref="V3:W3"/>
    <mergeCell ref="Z3:AA3"/>
    <mergeCell ref="AD3:AE3"/>
    <mergeCell ref="AH3:AI3"/>
    <mergeCell ref="AL3:AM3"/>
    <mergeCell ref="AP3:AQ3"/>
    <mergeCell ref="B81:D81"/>
    <mergeCell ref="B82:D82"/>
    <mergeCell ref="B83:D83"/>
    <mergeCell ref="B84:D84"/>
    <mergeCell ref="B2:C2"/>
    <mergeCell ref="B3:C3"/>
    <mergeCell ref="F3:G3"/>
    <mergeCell ref="E15:G15"/>
    <mergeCell ref="E16:G16"/>
    <mergeCell ref="E17:G17"/>
    <mergeCell ref="E18:G18"/>
    <mergeCell ref="E19:G19"/>
    <mergeCell ref="E20:G20"/>
    <mergeCell ref="E21:G21"/>
    <mergeCell ref="E22:G22"/>
    <mergeCell ref="E23:G23"/>
    <mergeCell ref="E24:G24"/>
    <mergeCell ref="E25:G25"/>
    <mergeCell ref="E26:G26"/>
    <mergeCell ref="E27:G27"/>
    <mergeCell ref="E28:G28"/>
    <mergeCell ref="B72:D72"/>
    <mergeCell ref="B73:D73"/>
    <mergeCell ref="B74:D74"/>
    <mergeCell ref="B75:D75"/>
    <mergeCell ref="B76:D76"/>
    <mergeCell ref="B77:D77"/>
    <mergeCell ref="B78:D78"/>
    <mergeCell ref="B79:D79"/>
    <mergeCell ref="B29:D29"/>
    <mergeCell ref="B30:D30"/>
    <mergeCell ref="B31:D31"/>
    <mergeCell ref="B32:D32"/>
    <mergeCell ref="B33:D33"/>
    <mergeCell ref="B34:D34"/>
    <mergeCell ref="B35:D35"/>
    <mergeCell ref="B36:D36"/>
    <mergeCell ref="B37:D37"/>
    <mergeCell ref="B38:D38"/>
    <mergeCell ref="B39:D39"/>
    <mergeCell ref="B40:D40"/>
    <mergeCell ref="B41:D41"/>
    <mergeCell ref="B42:D42"/>
    <mergeCell ref="B43:D43"/>
    <mergeCell ref="B44:D44"/>
    <mergeCell ref="B80:D80"/>
    <mergeCell ref="B6:D6"/>
    <mergeCell ref="B7:D7"/>
    <mergeCell ref="B8:D8"/>
    <mergeCell ref="B9:D9"/>
    <mergeCell ref="B10:D10"/>
    <mergeCell ref="B11:D11"/>
    <mergeCell ref="B12:D12"/>
    <mergeCell ref="B13:D13"/>
    <mergeCell ref="B14:D14"/>
    <mergeCell ref="B15:D15"/>
    <mergeCell ref="B16:D16"/>
    <mergeCell ref="B17:D17"/>
    <mergeCell ref="B18:D18"/>
    <mergeCell ref="B19:D19"/>
    <mergeCell ref="B20:D20"/>
    <mergeCell ref="B21:D21"/>
    <mergeCell ref="B22:D22"/>
    <mergeCell ref="B23:D23"/>
    <mergeCell ref="B24:D24"/>
    <mergeCell ref="B25:D25"/>
    <mergeCell ref="B26:D26"/>
    <mergeCell ref="B27:D27"/>
    <mergeCell ref="B28:D28"/>
    <mergeCell ref="B45:D45"/>
    <mergeCell ref="B46:D46"/>
    <mergeCell ref="B47:D47"/>
    <mergeCell ref="B48:D48"/>
    <mergeCell ref="B49:D49"/>
    <mergeCell ref="B50:D50"/>
    <mergeCell ref="B51:D51"/>
    <mergeCell ref="B52:D52"/>
    <mergeCell ref="B53:D53"/>
    <mergeCell ref="B54:D54"/>
    <mergeCell ref="B55:D55"/>
    <mergeCell ref="B56:D56"/>
    <mergeCell ref="B57:D57"/>
    <mergeCell ref="B58:D58"/>
    <mergeCell ref="B59:D59"/>
    <mergeCell ref="B60:D60"/>
    <mergeCell ref="B61:D61"/>
    <mergeCell ref="B62:D62"/>
    <mergeCell ref="B63:D63"/>
    <mergeCell ref="B64:D64"/>
    <mergeCell ref="B65:D65"/>
    <mergeCell ref="B66:D66"/>
    <mergeCell ref="B67:D67"/>
    <mergeCell ref="B68:D68"/>
    <mergeCell ref="B69:D69"/>
    <mergeCell ref="B70:D70"/>
    <mergeCell ref="B71:D71"/>
    <mergeCell ref="E6:G6"/>
    <mergeCell ref="E7:G7"/>
    <mergeCell ref="H15:J15"/>
    <mergeCell ref="H16:J16"/>
    <mergeCell ref="H17:J17"/>
    <mergeCell ref="H18:J18"/>
    <mergeCell ref="H19:J19"/>
    <mergeCell ref="H20:J20"/>
    <mergeCell ref="H21:J21"/>
    <mergeCell ref="H11:J11"/>
    <mergeCell ref="H12:J12"/>
    <mergeCell ref="H13:J13"/>
    <mergeCell ref="H29:J29"/>
    <mergeCell ref="E39:G39"/>
    <mergeCell ref="H22:J22"/>
    <mergeCell ref="H23:J23"/>
    <mergeCell ref="H24:J24"/>
    <mergeCell ref="H25:J25"/>
    <mergeCell ref="H26:J26"/>
    <mergeCell ref="E30:G30"/>
    <mergeCell ref="E31:G31"/>
    <mergeCell ref="E32:G32"/>
    <mergeCell ref="E33:G33"/>
    <mergeCell ref="H27:J27"/>
    <mergeCell ref="H28:J28"/>
    <mergeCell ref="E40:G40"/>
    <mergeCell ref="E41:G41"/>
    <mergeCell ref="E42:G42"/>
    <mergeCell ref="E43:G43"/>
    <mergeCell ref="E44:G44"/>
    <mergeCell ref="E29:G29"/>
    <mergeCell ref="E45:G45"/>
    <mergeCell ref="E46:G46"/>
    <mergeCell ref="E47:G47"/>
    <mergeCell ref="E34:G34"/>
    <mergeCell ref="E35:G35"/>
    <mergeCell ref="E36:G36"/>
    <mergeCell ref="E37:G37"/>
    <mergeCell ref="E38:G38"/>
    <mergeCell ref="E48:G48"/>
    <mergeCell ref="E49:G49"/>
    <mergeCell ref="E50:G50"/>
    <mergeCell ref="H39:J39"/>
    <mergeCell ref="H40:J40"/>
    <mergeCell ref="N7:Q7"/>
    <mergeCell ref="N10:Q10"/>
    <mergeCell ref="N14:Q14"/>
    <mergeCell ref="H9:J9"/>
    <mergeCell ref="H10:J10"/>
    <mergeCell ref="N13:Q13"/>
    <mergeCell ref="N16:Q16"/>
    <mergeCell ref="N22:Q22"/>
    <mergeCell ref="N32:Q32"/>
    <mergeCell ref="N35:Q35"/>
    <mergeCell ref="N38:Q38"/>
    <mergeCell ref="N44:Q44"/>
    <mergeCell ref="N41:Q41"/>
    <mergeCell ref="N45:Q45"/>
    <mergeCell ref="N49:Q49"/>
    <mergeCell ref="H48:J48"/>
    <mergeCell ref="N48:Q48"/>
    <mergeCell ref="H49:J49"/>
    <mergeCell ref="H50:J50"/>
    <mergeCell ref="R7:U7"/>
    <mergeCell ref="N6:Q6"/>
    <mergeCell ref="R6:U6"/>
    <mergeCell ref="R10:U10"/>
    <mergeCell ref="N9:Q9"/>
    <mergeCell ref="R9:U9"/>
    <mergeCell ref="N8:Q8"/>
    <mergeCell ref="R8:U8"/>
    <mergeCell ref="R13:U13"/>
    <mergeCell ref="N12:Q12"/>
    <mergeCell ref="R12:U12"/>
    <mergeCell ref="N11:Q11"/>
    <mergeCell ref="R11:U11"/>
    <mergeCell ref="R16:U16"/>
    <mergeCell ref="N15:Q15"/>
    <mergeCell ref="R15:U15"/>
    <mergeCell ref="R14:U14"/>
    <mergeCell ref="H14:J14"/>
    <mergeCell ref="N19:Q19"/>
    <mergeCell ref="R19:U19"/>
    <mergeCell ref="N18:Q18"/>
    <mergeCell ref="R18:U18"/>
    <mergeCell ref="N17:Q17"/>
    <mergeCell ref="R17:U17"/>
    <mergeCell ref="R22:U22"/>
    <mergeCell ref="N21:Q21"/>
    <mergeCell ref="R21:U21"/>
    <mergeCell ref="N20:Q20"/>
    <mergeCell ref="R20:U20"/>
    <mergeCell ref="R24:U24"/>
    <mergeCell ref="N23:Q23"/>
    <mergeCell ref="R23:U23"/>
    <mergeCell ref="N29:Q29"/>
    <mergeCell ref="R29:U29"/>
    <mergeCell ref="N28:Q28"/>
    <mergeCell ref="R28:U28"/>
    <mergeCell ref="N27:Q27"/>
    <mergeCell ref="R27:U27"/>
    <mergeCell ref="N26:Q26"/>
    <mergeCell ref="R26:U26"/>
    <mergeCell ref="N25:Q25"/>
    <mergeCell ref="R25:U25"/>
    <mergeCell ref="N24:Q24"/>
    <mergeCell ref="R32:U32"/>
    <mergeCell ref="N31:Q31"/>
    <mergeCell ref="R31:U31"/>
    <mergeCell ref="N30:Q30"/>
    <mergeCell ref="R30:U30"/>
    <mergeCell ref="H30:J30"/>
    <mergeCell ref="H31:J31"/>
    <mergeCell ref="H32:J32"/>
    <mergeCell ref="K30:M30"/>
    <mergeCell ref="K31:M31"/>
    <mergeCell ref="K32:M32"/>
    <mergeCell ref="N34:Q34"/>
    <mergeCell ref="R34:U34"/>
    <mergeCell ref="N33:Q33"/>
    <mergeCell ref="R33:U33"/>
    <mergeCell ref="H33:J33"/>
    <mergeCell ref="H34:J34"/>
    <mergeCell ref="H35:J35"/>
    <mergeCell ref="K33:M33"/>
    <mergeCell ref="K34:M34"/>
    <mergeCell ref="K35:M35"/>
    <mergeCell ref="N36:Q36"/>
    <mergeCell ref="R36:U36"/>
    <mergeCell ref="H36:J36"/>
    <mergeCell ref="H37:J37"/>
    <mergeCell ref="H38:J38"/>
    <mergeCell ref="K36:M36"/>
    <mergeCell ref="K37:M37"/>
    <mergeCell ref="K38:M38"/>
    <mergeCell ref="R35:U35"/>
    <mergeCell ref="H41:J41"/>
    <mergeCell ref="K39:M39"/>
    <mergeCell ref="K40:M40"/>
    <mergeCell ref="K41:M41"/>
    <mergeCell ref="R44:U44"/>
    <mergeCell ref="N43:Q43"/>
    <mergeCell ref="R43:U43"/>
    <mergeCell ref="N42:Q42"/>
    <mergeCell ref="R42:U42"/>
    <mergeCell ref="H42:J42"/>
    <mergeCell ref="H43:J43"/>
    <mergeCell ref="H44:J44"/>
    <mergeCell ref="K42:M42"/>
    <mergeCell ref="K43:M43"/>
    <mergeCell ref="K44:M44"/>
    <mergeCell ref="H45:J45"/>
    <mergeCell ref="K45:M45"/>
    <mergeCell ref="N47:Q47"/>
    <mergeCell ref="R47:U47"/>
    <mergeCell ref="N46:Q46"/>
    <mergeCell ref="R46:U46"/>
    <mergeCell ref="H46:J46"/>
    <mergeCell ref="H47:J47"/>
    <mergeCell ref="K46:M46"/>
    <mergeCell ref="K47:M47"/>
    <mergeCell ref="H51:J51"/>
    <mergeCell ref="N53:Q53"/>
    <mergeCell ref="R53:U53"/>
    <mergeCell ref="N52:Q52"/>
    <mergeCell ref="R52:U52"/>
    <mergeCell ref="H52:J52"/>
    <mergeCell ref="H53:J53"/>
    <mergeCell ref="N51:Q51"/>
    <mergeCell ref="R51:U51"/>
    <mergeCell ref="K51:M51"/>
    <mergeCell ref="K52:M52"/>
    <mergeCell ref="K53:M53"/>
    <mergeCell ref="H54:J54"/>
    <mergeCell ref="H55:J55"/>
    <mergeCell ref="H56:J56"/>
    <mergeCell ref="H57:J57"/>
    <mergeCell ref="N59:Q59"/>
    <mergeCell ref="R59:U59"/>
    <mergeCell ref="N58:Q58"/>
    <mergeCell ref="R58:U58"/>
    <mergeCell ref="H58:J58"/>
    <mergeCell ref="H59:J59"/>
    <mergeCell ref="N55:Q55"/>
    <mergeCell ref="R55:U55"/>
    <mergeCell ref="N54:Q54"/>
    <mergeCell ref="R54:U54"/>
    <mergeCell ref="N57:Q57"/>
    <mergeCell ref="R57:U57"/>
    <mergeCell ref="N56:Q56"/>
    <mergeCell ref="R56:U56"/>
    <mergeCell ref="K57:M57"/>
    <mergeCell ref="K58:M58"/>
    <mergeCell ref="K59:M59"/>
    <mergeCell ref="K54:M54"/>
    <mergeCell ref="K55:M55"/>
    <mergeCell ref="K56:M56"/>
    <mergeCell ref="H60:J60"/>
    <mergeCell ref="H61:J61"/>
    <mergeCell ref="H62:J62"/>
    <mergeCell ref="H63:J63"/>
    <mergeCell ref="N65:Q65"/>
    <mergeCell ref="R65:U65"/>
    <mergeCell ref="N64:Q64"/>
    <mergeCell ref="R64:U64"/>
    <mergeCell ref="H64:J64"/>
    <mergeCell ref="H65:J65"/>
    <mergeCell ref="N61:Q61"/>
    <mergeCell ref="R61:U61"/>
    <mergeCell ref="N60:Q60"/>
    <mergeCell ref="R60:U60"/>
    <mergeCell ref="N63:Q63"/>
    <mergeCell ref="R63:U63"/>
    <mergeCell ref="N62:Q62"/>
    <mergeCell ref="R62:U62"/>
    <mergeCell ref="K60:M60"/>
    <mergeCell ref="K61:M61"/>
    <mergeCell ref="K62:M62"/>
    <mergeCell ref="K63:M63"/>
    <mergeCell ref="K64:M64"/>
    <mergeCell ref="K65:M65"/>
    <mergeCell ref="H66:J66"/>
    <mergeCell ref="H67:J67"/>
    <mergeCell ref="H68:J68"/>
    <mergeCell ref="H69:J69"/>
    <mergeCell ref="N71:Q71"/>
    <mergeCell ref="R71:U71"/>
    <mergeCell ref="N70:Q70"/>
    <mergeCell ref="R70:U70"/>
    <mergeCell ref="H70:J70"/>
    <mergeCell ref="H71:J71"/>
    <mergeCell ref="N67:Q67"/>
    <mergeCell ref="R67:U67"/>
    <mergeCell ref="N66:Q66"/>
    <mergeCell ref="R66:U66"/>
    <mergeCell ref="N69:Q69"/>
    <mergeCell ref="R69:U69"/>
    <mergeCell ref="N68:Q68"/>
    <mergeCell ref="R68:U68"/>
    <mergeCell ref="H72:J72"/>
    <mergeCell ref="H73:J73"/>
    <mergeCell ref="H74:J74"/>
    <mergeCell ref="H75:J75"/>
    <mergeCell ref="N77:Q77"/>
    <mergeCell ref="R77:U77"/>
    <mergeCell ref="N76:Q76"/>
    <mergeCell ref="R76:U76"/>
    <mergeCell ref="H76:J76"/>
    <mergeCell ref="H77:J77"/>
    <mergeCell ref="N73:Q73"/>
    <mergeCell ref="R73:U73"/>
    <mergeCell ref="N72:Q72"/>
    <mergeCell ref="R72:U72"/>
    <mergeCell ref="N75:Q75"/>
    <mergeCell ref="R75:U75"/>
    <mergeCell ref="N74:Q74"/>
    <mergeCell ref="R74:U74"/>
    <mergeCell ref="H78:J78"/>
    <mergeCell ref="H79:J79"/>
    <mergeCell ref="H80:J80"/>
    <mergeCell ref="H81:J81"/>
    <mergeCell ref="N82:Q82"/>
    <mergeCell ref="R82:U82"/>
    <mergeCell ref="H82:J82"/>
    <mergeCell ref="H83:J83"/>
    <mergeCell ref="N79:Q79"/>
    <mergeCell ref="R79:U79"/>
    <mergeCell ref="N78:Q78"/>
    <mergeCell ref="R78:U78"/>
    <mergeCell ref="N81:Q81"/>
    <mergeCell ref="R81:U81"/>
    <mergeCell ref="N80:Q80"/>
    <mergeCell ref="R80:U80"/>
    <mergeCell ref="AW6:AY6"/>
    <mergeCell ref="AB6:AF6"/>
    <mergeCell ref="AG6:AI6"/>
    <mergeCell ref="AJ6:AN6"/>
    <mergeCell ref="AO6:AQ6"/>
    <mergeCell ref="AR6:AV6"/>
    <mergeCell ref="N84:Q84"/>
    <mergeCell ref="R84:U84"/>
    <mergeCell ref="N83:Q83"/>
    <mergeCell ref="R83:U83"/>
    <mergeCell ref="R48:U48"/>
    <mergeCell ref="N50:Q50"/>
    <mergeCell ref="R50:U50"/>
    <mergeCell ref="R49:U49"/>
    <mergeCell ref="R45:U45"/>
    <mergeCell ref="R41:U41"/>
    <mergeCell ref="N40:Q40"/>
    <mergeCell ref="R40:U40"/>
    <mergeCell ref="AB7:AY9"/>
    <mergeCell ref="N39:Q39"/>
    <mergeCell ref="R39:U39"/>
    <mergeCell ref="R38:U38"/>
    <mergeCell ref="N37:Q37"/>
    <mergeCell ref="R37:U37"/>
  </mergeCells>
  <conditionalFormatting sqref="AB7">
    <cfRule type="containsText" dxfId="112" priority="407" operator="containsText" text="within">
      <formula>NOT(ISERROR(SEARCH("within",AB7)))</formula>
    </cfRule>
  </conditionalFormatting>
  <conditionalFormatting sqref="AB7">
    <cfRule type="containsText" dxfId="111" priority="406" operator="containsText" text="exceed">
      <formula>NOT(ISERROR(SEARCH("exceed",AB7)))</formula>
    </cfRule>
  </conditionalFormatting>
  <conditionalFormatting sqref="E2">
    <cfRule type="expression" dxfId="110" priority="21">
      <formula>$E$2&lt;&gt;""</formula>
    </cfRule>
    <cfRule type="expression" dxfId="109" priority="314">
      <formula>$D$2&lt;&gt;0</formula>
    </cfRule>
    <cfRule type="expression" dxfId="108" priority="404">
      <formula>AND(($F$3&lt;&gt;""),($E$2=""))</formula>
    </cfRule>
    <cfRule type="expression" dxfId="107" priority="405">
      <formula>AND($E$2="", OR($H$2&lt;&gt;"", $I$2&lt;&gt;"", $L$2&lt;&gt;"", $M$2&lt;&gt;"", $P$2&lt;&gt;"", $Q$2&lt;&gt;"", $T$2&lt;&gt;"", $U$2&lt;&gt;"", $X$2&lt;&gt;"", $Y$2&lt;&gt;"", $AB$2&lt;&gt;"", $AC$2&lt;&gt;"", $AF$2&lt;&gt;"", $AG$2&lt;&gt;"", $AJ$2&lt;&gt;"", $AK$2&lt;&gt;"", $AN$2&lt;&gt;"", $AO$2&lt;&gt;"", $AR$2&lt;&gt;"", $AS$2&lt;&gt;"", $AV$2&lt;&gt;"", $AW$2&lt;&gt;""))</formula>
    </cfRule>
  </conditionalFormatting>
  <conditionalFormatting sqref="I2">
    <cfRule type="expression" dxfId="106" priority="19">
      <formula>$I$2&lt;&gt;""</formula>
    </cfRule>
    <cfRule type="expression" dxfId="105" priority="312">
      <formula>$H$2&lt;&gt;0</formula>
    </cfRule>
    <cfRule type="expression" dxfId="104" priority="402">
      <formula>AND(($J$3&lt;&gt;""),($I$2=""))</formula>
    </cfRule>
    <cfRule type="expression" dxfId="103" priority="403">
      <formula>AND($I$2="", OR($L$2&lt;&gt;"", $M$2&lt;&gt;"", $P$2&lt;&gt;"", $Q$2&lt;&gt;"", $T$2&lt;&gt;"", $U$2&lt;&gt;"", $X$2&lt;&gt;"", $Y$2&lt;&gt;"", $AB$2&lt;&gt;"", $AC$2&lt;&gt;"", $AF$2&lt;&gt;"", $AG$2&lt;&gt;"", $AJ$2&lt;&gt;"", $AK$2&lt;&gt;"", $AN$2&lt;&gt;"", $AO$2&lt;&gt;"", $AR$2&lt;&gt;"", $AS$2&lt;&gt;"", $AV$2&lt;&gt;"", $AW$2&lt;&gt;""))</formula>
    </cfRule>
  </conditionalFormatting>
  <conditionalFormatting sqref="M2">
    <cfRule type="expression" dxfId="102" priority="17">
      <formula>$M$2&lt;&gt;""</formula>
    </cfRule>
    <cfRule type="expression" dxfId="101" priority="310">
      <formula>$L$2&lt;&gt;0</formula>
    </cfRule>
    <cfRule type="expression" dxfId="100" priority="400">
      <formula>AND(($N$3&lt;&gt;""),($M$2=""))</formula>
    </cfRule>
    <cfRule type="expression" dxfId="99" priority="401">
      <formula>AND($M$2="", OR($P$2&lt;&gt;"", $Q$2&lt;&gt;"", $T$2&lt;&gt;"", $U$2&lt;&gt;"", $X$2&lt;&gt;"", $Y$2&lt;&gt;"", $AB$2&lt;&gt;"", $AC$2&lt;&gt;"", $AF$2&lt;&gt;"", $AG$2&lt;&gt;"", $AJ$2&lt;&gt;"", $AK$2&lt;&gt;"", $AN$2&lt;&gt;"", $AO$2&lt;&gt;"", $AR$2&lt;&gt;"", $AS$2&lt;&gt;"", $AV$2&lt;&gt;"", $AW$2&lt;&gt;""))</formula>
    </cfRule>
  </conditionalFormatting>
  <conditionalFormatting sqref="Q2">
    <cfRule type="expression" dxfId="98" priority="15">
      <formula>$Q$2&lt;&gt;""</formula>
    </cfRule>
    <cfRule type="expression" dxfId="97" priority="308">
      <formula>$P$2&lt;&gt;0</formula>
    </cfRule>
    <cfRule type="expression" dxfId="96" priority="398">
      <formula>AND(($R$3&lt;&gt;""),($Q$2=""))</formula>
    </cfRule>
    <cfRule type="expression" dxfId="95" priority="399">
      <formula>AND($Q$2="", OR($T$2&lt;&gt;"", $U$2&lt;&gt;"", $X$2&lt;&gt;"", $Y$2&lt;&gt;"", $AB$2&lt;&gt;"", $AC$2&lt;&gt;"", $AF$2&lt;&gt;"", $AG$2&lt;&gt;"", $AJ$2&lt;&gt;"", $AK$2&lt;&gt;"", $AN$2&lt;&gt;"", $AO$2&lt;&gt;"", $AR$2&lt;&gt;"", $AS$2&lt;&gt;"", $AV$2&lt;&gt;"", $AW$2&lt;&gt;""))</formula>
    </cfRule>
  </conditionalFormatting>
  <conditionalFormatting sqref="U2">
    <cfRule type="expression" dxfId="94" priority="13">
      <formula>$U$2&lt;&gt;""</formula>
    </cfRule>
    <cfRule type="expression" dxfId="93" priority="306">
      <formula>$T$2&lt;&gt;0</formula>
    </cfRule>
    <cfRule type="expression" dxfId="92" priority="396">
      <formula>AND(($V$3&lt;&gt;""),($U$2=""))</formula>
    </cfRule>
    <cfRule type="expression" dxfId="91" priority="397">
      <formula>AND($U$2="", OR($X$2&lt;&gt;"", $Y$2&lt;&gt;"", $AB$2&lt;&gt;"", $AC$2&lt;&gt;"", $AF$2&lt;&gt;"", $AG$2&lt;&gt;"", $AJ$2&lt;&gt;"", $AK$2&lt;&gt;"", $AN$2&lt;&gt;"", $AO$2&lt;&gt;"", $AR$2&lt;&gt;"", $AS$2&lt;&gt;"", $AV$2&lt;&gt;"", $AW$2&lt;&gt;""))</formula>
    </cfRule>
  </conditionalFormatting>
  <conditionalFormatting sqref="Y2">
    <cfRule type="expression" dxfId="90" priority="11">
      <formula>$Y$2&lt;&gt;""</formula>
    </cfRule>
    <cfRule type="expression" dxfId="89" priority="304">
      <formula>$X$2&lt;&gt;0</formula>
    </cfRule>
    <cfRule type="expression" dxfId="88" priority="394">
      <formula>AND(($Z$3&lt;&gt;""),($Y$2=""))</formula>
    </cfRule>
    <cfRule type="expression" dxfId="87" priority="395">
      <formula>AND($Y$2="", OR($AB$2&lt;&gt;"", $AC$2&lt;&gt;"", $AF$2&lt;&gt;"", $AG$2&lt;&gt;"", $AJ$2&lt;&gt;"", $AK$2&lt;&gt;"", $AN$2&lt;&gt;"", $AO$2&lt;&gt;"", $AR$2&lt;&gt;"", $AS$2&lt;&gt;"", $AV$2&lt;&gt;"", $AW$2&lt;&gt;""))</formula>
    </cfRule>
  </conditionalFormatting>
  <conditionalFormatting sqref="AC2">
    <cfRule type="expression" dxfId="86" priority="9">
      <formula>$AC$2&lt;&gt;""</formula>
    </cfRule>
    <cfRule type="expression" dxfId="85" priority="302">
      <formula>$AB$2&lt;&gt;0</formula>
    </cfRule>
    <cfRule type="expression" dxfId="84" priority="392">
      <formula>AND(($AD$3&lt;&gt;""),($AC$2=""))</formula>
    </cfRule>
    <cfRule type="expression" dxfId="83" priority="393">
      <formula>AND($AC$2="", OR($AF$2&lt;&gt;"", $AG$2&lt;&gt;"", $AJ$2&lt;&gt;"", $AK$2&lt;&gt;"", $AN$2&lt;&gt;"", $AO$2&lt;&gt;"", $AR$2&lt;&gt;"", $AS$2&lt;&gt;"", $AV$2&lt;&gt;"", $AW$2&lt;&gt;""))</formula>
    </cfRule>
  </conditionalFormatting>
  <conditionalFormatting sqref="AG2">
    <cfRule type="expression" dxfId="82" priority="7">
      <formula>$AG$2&lt;&gt;""</formula>
    </cfRule>
    <cfRule type="expression" dxfId="81" priority="300">
      <formula>$AF$2&lt;&gt;0</formula>
    </cfRule>
    <cfRule type="expression" dxfId="80" priority="390">
      <formula>AND(($AH$3&lt;&gt;""),($AG$2=""))</formula>
    </cfRule>
    <cfRule type="expression" dxfId="79" priority="391">
      <formula>AND($AG$2="", OR($AJ$2&lt;&gt;"", $AK$2&lt;&gt;"", $AN$2&lt;&gt;"", $AO$2&lt;&gt;"", $AR$2&lt;&gt;"", $AS$2&lt;&gt;"", $AV$2&lt;&gt;"", $AW$2&lt;&gt;""))</formula>
    </cfRule>
  </conditionalFormatting>
  <conditionalFormatting sqref="AK2">
    <cfRule type="expression" dxfId="78" priority="5">
      <formula>$AK$2&lt;&gt;""</formula>
    </cfRule>
    <cfRule type="expression" dxfId="77" priority="298">
      <formula>$AJ$2&lt;&gt;0</formula>
    </cfRule>
    <cfRule type="expression" dxfId="76" priority="388">
      <formula>AND(($AL$3&lt;&gt;""),($AK$2=""))</formula>
    </cfRule>
    <cfRule type="expression" dxfId="75" priority="389">
      <formula>AND($AK$2="", OR($AN$2&lt;&gt;"", $AO$2&lt;&gt;"", $AR$2&lt;&gt;"", $AS$2&lt;&gt;"", $AV$2&lt;&gt;"", $AW$2&lt;&gt;""))</formula>
    </cfRule>
  </conditionalFormatting>
  <conditionalFormatting sqref="AO2">
    <cfRule type="expression" dxfId="74" priority="3">
      <formula>$AO$2&lt;&gt;""</formula>
    </cfRule>
    <cfRule type="expression" dxfId="73" priority="296">
      <formula>$AN$2&lt;&gt;0</formula>
    </cfRule>
    <cfRule type="expression" dxfId="72" priority="386">
      <formula>AND(($AP$3&lt;&gt;""),($AO$2=""))</formula>
    </cfRule>
    <cfRule type="expression" dxfId="71" priority="387">
      <formula>AND($AO$2="", OR($AR$2&lt;&gt;"", $AS$2&lt;&gt;"", $AV$2&lt;&gt;"", $AW$2&lt;&gt;""))</formula>
    </cfRule>
  </conditionalFormatting>
  <conditionalFormatting sqref="AS2">
    <cfRule type="expression" dxfId="70" priority="1">
      <formula>$AS$2&lt;&gt;""</formula>
    </cfRule>
    <cfRule type="expression" dxfId="69" priority="294">
      <formula>$AR$2&lt;&gt;0</formula>
    </cfRule>
    <cfRule type="expression" dxfId="68" priority="384">
      <formula>AND(($AT$3&lt;&gt;""),($AS$2=""))</formula>
    </cfRule>
    <cfRule type="expression" dxfId="67" priority="385">
      <formula>AND($AS$2="", OR($AV$2&lt;&gt;"", $AW$2&lt;&gt;""))</formula>
    </cfRule>
  </conditionalFormatting>
  <conditionalFormatting sqref="AW2">
    <cfRule type="expression" dxfId="66" priority="292">
      <formula>$AW$2&lt;&gt;""</formula>
    </cfRule>
    <cfRule type="expression" dxfId="65" priority="382">
      <formula>$AV$2&lt;&gt;0</formula>
    </cfRule>
    <cfRule type="expression" dxfId="64" priority="383">
      <formula>AND(($AX$3&lt;&gt;""),($AW$2=""))</formula>
    </cfRule>
  </conditionalFormatting>
  <conditionalFormatting sqref="AB7">
    <cfRule type="containsText" dxfId="63" priority="381" operator="containsText" text="inputted">
      <formula>NOT(ISERROR(SEARCH("inputted",AB7)))</formula>
    </cfRule>
  </conditionalFormatting>
  <conditionalFormatting sqref="D2">
    <cfRule type="expression" dxfId="62" priority="22">
      <formula>$D$2&lt;&gt;""</formula>
    </cfRule>
    <cfRule type="expression" dxfId="61" priority="315">
      <formula>$E$2&lt;&gt;""</formula>
    </cfRule>
    <cfRule type="expression" dxfId="60" priority="379">
      <formula>AND(($F$3&lt;&gt;""),($D$2=""))</formula>
    </cfRule>
    <cfRule type="expression" dxfId="59" priority="380">
      <formula>AND($D$2="", OR($H$2&lt;&gt;"", $I$2&lt;&gt;"", $L$2&lt;&gt;"", $M$2&lt;&gt;"", $P$2&lt;&gt;"", $Q$2&lt;&gt;"", $T$2&lt;&gt;"", $U$2&lt;&gt;"", $X$2&lt;&gt;"", $Y$2&lt;&gt;"", $AB$2&lt;&gt;"", $AC$2&lt;&gt;"", $AF$2&lt;&gt;"", $AG$2&lt;&gt;"", $AJ$2&lt;&gt;"", $AK$2&lt;&gt;"", $AN$2&lt;&gt;"", $AO$2&lt;&gt;"", $AR$2&lt;&gt;"", $AS$2&lt;&gt;"", $AV$2&lt;&gt;"", $AW$2&lt;&gt;""))</formula>
    </cfRule>
  </conditionalFormatting>
  <conditionalFormatting sqref="H2">
    <cfRule type="expression" dxfId="58" priority="20">
      <formula>$H$2&lt;&gt;""</formula>
    </cfRule>
    <cfRule type="expression" dxfId="57" priority="313">
      <formula>$I$2&lt;&gt;""</formula>
    </cfRule>
    <cfRule type="expression" dxfId="56" priority="377">
      <formula>AND(($J$3&lt;&gt;""),($H$2=""))</formula>
    </cfRule>
    <cfRule type="expression" dxfId="55" priority="378">
      <formula>AND($H$2="", OR($L$2&lt;&gt;"", $M$2&lt;&gt;"", $P$2&lt;&gt;"", $Q$2&lt;&gt;"", $T$2&lt;&gt;"", $U$2&lt;&gt;"", $X$2&lt;&gt;"", $Y$2&lt;&gt;"", $AB$2&lt;&gt;"", $AC$2&lt;&gt;"", $AF$2&lt;&gt;"", $AG$2&lt;&gt;"", $AJ$2&lt;&gt;"", $AK$2&lt;&gt;"", $AN$2&lt;&gt;"", $AO$2&lt;&gt;"", $AR$2&lt;&gt;"", $AS$2&lt;&gt;"", $AV$2&lt;&gt;"", $AW$2&lt;&gt;""))</formula>
    </cfRule>
  </conditionalFormatting>
  <conditionalFormatting sqref="L2">
    <cfRule type="expression" dxfId="54" priority="18">
      <formula>$L$2&lt;&gt;""</formula>
    </cfRule>
    <cfRule type="expression" dxfId="53" priority="311">
      <formula>$M$2&lt;&gt;""</formula>
    </cfRule>
    <cfRule type="expression" dxfId="52" priority="375">
      <formula>AND(($N$3&lt;&gt;""),($L$2=""))</formula>
    </cfRule>
    <cfRule type="expression" dxfId="51" priority="376">
      <formula>AND($L$2="", OR($P$2&lt;&gt;"", $Q$2&lt;&gt;"", $T$2&lt;&gt;"", $U$2&lt;&gt;"", $X$2&lt;&gt;"", $Y$2&lt;&gt;"", $AB$2&lt;&gt;"", $AC$2&lt;&gt;"", $AF$2&lt;&gt;"", $AG$2&lt;&gt;"", $AJ$2&lt;&gt;"", $AK$2&lt;&gt;"", $AN$2&lt;&gt;"", $AO$2&lt;&gt;"", $AR$2&lt;&gt;"", $AS$2&lt;&gt;"", $AV$2&lt;&gt;"", $AW$2&lt;&gt;""))</formula>
    </cfRule>
  </conditionalFormatting>
  <conditionalFormatting sqref="P2">
    <cfRule type="expression" dxfId="50" priority="16">
      <formula>$P$2&lt;&gt;""</formula>
    </cfRule>
    <cfRule type="expression" dxfId="49" priority="309">
      <formula>$Q$2&lt;&gt;""</formula>
    </cfRule>
    <cfRule type="expression" dxfId="48" priority="373">
      <formula>AND(($R$3&lt;&gt;""),($P$2=""))</formula>
    </cfRule>
    <cfRule type="expression" dxfId="47" priority="374">
      <formula>AND($P$2="", OR($T$2&lt;&gt;"", $U$2&lt;&gt;"", $X$2&lt;&gt;"", $Y$2&lt;&gt;"", $AB$2&lt;&gt;"", $AC$2&lt;&gt;"", $AF$2&lt;&gt;"", $AG$2&lt;&gt;"", $AJ$2&lt;&gt;"", $AK$2&lt;&gt;"", $AN$2&lt;&gt;"", $AO$2&lt;&gt;"", $AR$2&lt;&gt;"", $AS$2&lt;&gt;"", $AV$2&lt;&gt;"", $AW$2&lt;&gt;""))</formula>
    </cfRule>
  </conditionalFormatting>
  <conditionalFormatting sqref="T2">
    <cfRule type="expression" dxfId="46" priority="14">
      <formula>$T$2&lt;&gt;""</formula>
    </cfRule>
    <cfRule type="expression" dxfId="45" priority="307">
      <formula>$U$2&lt;&gt;""</formula>
    </cfRule>
    <cfRule type="expression" dxfId="44" priority="371">
      <formula>AND(($V$3&lt;&gt;""),($T$2=""))</formula>
    </cfRule>
    <cfRule type="expression" dxfId="43" priority="372">
      <formula>AND($T$2="", OR($X$2&lt;&gt;"", $Y$2&lt;&gt;"", $AB$2&lt;&gt;"", $AC$2&lt;&gt;"", $AF$2&lt;&gt;"", $AG$2&lt;&gt;"", $AJ$2&lt;&gt;"", $AK$2&lt;&gt;"", $AN$2&lt;&gt;"", $AO$2&lt;&gt;"", $AR$2&lt;&gt;"", $AS$2&lt;&gt;"", $AV$2&lt;&gt;"", $AW$2&lt;&gt;""))</formula>
    </cfRule>
  </conditionalFormatting>
  <conditionalFormatting sqref="X2">
    <cfRule type="expression" dxfId="42" priority="12">
      <formula>$X$2&lt;&gt;""</formula>
    </cfRule>
    <cfRule type="expression" dxfId="41" priority="305">
      <formula>$Y$2&lt;&gt;""</formula>
    </cfRule>
    <cfRule type="expression" dxfId="40" priority="369">
      <formula>AND(($Z$3&lt;&gt;""),($X$2=""))</formula>
    </cfRule>
    <cfRule type="expression" dxfId="39" priority="370">
      <formula>AND($X$2="", OR($AB$2&lt;&gt;"", $AC$2&lt;&gt;"", $AF$2&lt;&gt;"", $AG$2&lt;&gt;"", $AJ$2&lt;&gt;"", $AK$2&lt;&gt;"", $AN$2&lt;&gt;"", $AO$2&lt;&gt;"", $AR$2&lt;&gt;"", $AS$2&lt;&gt;"", $AV$2&lt;&gt;"", $AW$2&lt;&gt;""))</formula>
    </cfRule>
  </conditionalFormatting>
  <conditionalFormatting sqref="AB2">
    <cfRule type="expression" dxfId="38" priority="10">
      <formula>$AB$2&lt;&gt;""</formula>
    </cfRule>
    <cfRule type="expression" dxfId="37" priority="303">
      <formula>$AC$2&lt;&gt;""</formula>
    </cfRule>
    <cfRule type="expression" dxfId="36" priority="367">
      <formula>AND(($AD$3&lt;&gt;""),($AB$2=""))</formula>
    </cfRule>
    <cfRule type="expression" dxfId="35" priority="368">
      <formula>AND($AB$2="", OR($AF$2&lt;&gt;"", $AG$2&lt;&gt;"", $AJ$2&lt;&gt;"", $AK$2&lt;&gt;"", $AN$2&lt;&gt;"", $AO$2&lt;&gt;"", $AR$2&lt;&gt;"", $AS$2&lt;&gt;"", $AV$2&lt;&gt;"", $AW$2&lt;&gt;""))</formula>
    </cfRule>
  </conditionalFormatting>
  <conditionalFormatting sqref="AF2">
    <cfRule type="expression" dxfId="34" priority="8">
      <formula>$AF$2&lt;&gt;""</formula>
    </cfRule>
    <cfRule type="expression" dxfId="33" priority="301">
      <formula>$AG$2&lt;&gt;""</formula>
    </cfRule>
    <cfRule type="expression" dxfId="32" priority="365">
      <formula>AND(($AH$3&lt;&gt;""),($AF$2=""))</formula>
    </cfRule>
    <cfRule type="expression" dxfId="31" priority="366">
      <formula>AND($AF$2="", OR($AJ$2&lt;&gt;"", $AK$2&lt;&gt;"", $AN$2&lt;&gt;"", $AO$2&lt;&gt;"", $AR$2&lt;&gt;"", $AS$2&lt;&gt;"", $AV$2&lt;&gt;"", $AW$2&lt;&gt;""))</formula>
    </cfRule>
  </conditionalFormatting>
  <conditionalFormatting sqref="AJ2">
    <cfRule type="expression" dxfId="30" priority="6">
      <formula>$AJ$2&lt;&gt;""</formula>
    </cfRule>
    <cfRule type="expression" dxfId="29" priority="299">
      <formula>$AK$2&lt;&gt;""</formula>
    </cfRule>
    <cfRule type="expression" dxfId="28" priority="363">
      <formula>AND(($AL$3&lt;&gt;""),($AJ$2=""))</formula>
    </cfRule>
    <cfRule type="expression" dxfId="27" priority="364">
      <formula>AND($AJ$2="", OR($AN$2&lt;&gt;"", $AO$2&lt;&gt;"", $AR$2&lt;&gt;"", $AS$2&lt;&gt;"", $AV$2&lt;&gt;"", $AW$2&lt;&gt;""))</formula>
    </cfRule>
  </conditionalFormatting>
  <conditionalFormatting sqref="AN2">
    <cfRule type="expression" dxfId="26" priority="4">
      <formula>$AN$2&lt;&gt;""</formula>
    </cfRule>
    <cfRule type="expression" dxfId="25" priority="297">
      <formula>$AO$2&lt;&gt;""</formula>
    </cfRule>
    <cfRule type="expression" dxfId="24" priority="361">
      <formula>AND(($AP$3&lt;&gt;""),($AN$2=""))</formula>
    </cfRule>
    <cfRule type="expression" dxfId="23" priority="362">
      <formula>AND($AN$2="", OR($AR$2&lt;&gt;"", $AS$2&lt;&gt;"", $AV$2&lt;&gt;"", $AW$2&lt;&gt;""))</formula>
    </cfRule>
  </conditionalFormatting>
  <conditionalFormatting sqref="AR2">
    <cfRule type="expression" dxfId="22" priority="2">
      <formula>$AR$2&lt;&gt;""</formula>
    </cfRule>
    <cfRule type="expression" dxfId="21" priority="295">
      <formula>$AS$2&lt;&gt;""</formula>
    </cfRule>
    <cfRule type="expression" dxfId="20" priority="359">
      <formula>AND(($AT$3&lt;&gt;""),($AR$2=""))</formula>
    </cfRule>
    <cfRule type="expression" dxfId="19" priority="360">
      <formula>AND($AR$2="", OR($AV$2&lt;&gt;"", $AW$2&lt;&gt;""))</formula>
    </cfRule>
  </conditionalFormatting>
  <conditionalFormatting sqref="AV2">
    <cfRule type="expression" dxfId="18" priority="293">
      <formula>$AV$2&lt;&gt;""</formula>
    </cfRule>
    <cfRule type="expression" dxfId="17" priority="357">
      <formula>$AW$2&lt;&gt;""</formula>
    </cfRule>
    <cfRule type="expression" dxfId="16" priority="358">
      <formula>AND(($AX$3&lt;&gt;""),($AV$2=""))</formula>
    </cfRule>
  </conditionalFormatting>
  <conditionalFormatting sqref="A7">
    <cfRule type="expression" dxfId="15" priority="356">
      <formula>ISNUMBER(SEARCH("Over",R7))=TRUE</formula>
    </cfRule>
  </conditionalFormatting>
  <conditionalFormatting sqref="R7:U84">
    <cfRule type="containsText" dxfId="14" priority="264" operator="containsText" text="Over">
      <formula>NOT(ISERROR(SEARCH("Over",R7)))</formula>
    </cfRule>
  </conditionalFormatting>
  <conditionalFormatting sqref="B3:C3">
    <cfRule type="cellIs" dxfId="13" priority="192" operator="greaterThan">
      <formula>20000</formula>
    </cfRule>
  </conditionalFormatting>
  <conditionalFormatting sqref="F3:G3">
    <cfRule type="cellIs" dxfId="12" priority="46" operator="greaterThan">
      <formula>20000</formula>
    </cfRule>
  </conditionalFormatting>
  <conditionalFormatting sqref="J3:K3">
    <cfRule type="cellIs" dxfId="11" priority="45" operator="greaterThan">
      <formula>20000</formula>
    </cfRule>
  </conditionalFormatting>
  <conditionalFormatting sqref="N3:O3">
    <cfRule type="cellIs" dxfId="10" priority="44" operator="greaterThan">
      <formula>20000</formula>
    </cfRule>
  </conditionalFormatting>
  <conditionalFormatting sqref="R3:S3">
    <cfRule type="cellIs" dxfId="9" priority="43" operator="greaterThan">
      <formula>20000</formula>
    </cfRule>
  </conditionalFormatting>
  <conditionalFormatting sqref="V3:W3">
    <cfRule type="cellIs" dxfId="8" priority="42" operator="greaterThan">
      <formula>20000</formula>
    </cfRule>
  </conditionalFormatting>
  <conditionalFormatting sqref="Z3:AA3">
    <cfRule type="cellIs" dxfId="7" priority="41" operator="greaterThan">
      <formula>20000</formula>
    </cfRule>
  </conditionalFormatting>
  <conditionalFormatting sqref="AD3:AE3">
    <cfRule type="cellIs" dxfId="6" priority="40" operator="greaterThan">
      <formula>20000</formula>
    </cfRule>
  </conditionalFormatting>
  <conditionalFormatting sqref="AH3:AI3">
    <cfRule type="cellIs" dxfId="5" priority="39" operator="greaterThan">
      <formula>20000</formula>
    </cfRule>
  </conditionalFormatting>
  <conditionalFormatting sqref="AL3:AM3">
    <cfRule type="cellIs" dxfId="4" priority="38" operator="greaterThan">
      <formula>20000</formula>
    </cfRule>
  </conditionalFormatting>
  <conditionalFormatting sqref="AP3:AQ3">
    <cfRule type="cellIs" dxfId="3" priority="37" operator="greaterThan">
      <formula>20000</formula>
    </cfRule>
  </conditionalFormatting>
  <conditionalFormatting sqref="AT3:AU3">
    <cfRule type="cellIs" dxfId="2" priority="36" operator="greaterThan">
      <formula>20000</formula>
    </cfRule>
  </conditionalFormatting>
  <conditionalFormatting sqref="AX3:AY3">
    <cfRule type="cellIs" dxfId="1" priority="35" operator="greaterThan">
      <formula>20000</formula>
    </cfRule>
  </conditionalFormatting>
  <conditionalFormatting sqref="A8:A84">
    <cfRule type="expression" dxfId="0" priority="26">
      <formula>ISNUMBER(SEARCH("Over",R8))=TRUE</formula>
    </cfRule>
  </conditionalFormatting>
  <dataValidations count="1">
    <dataValidation type="whole" allowBlank="1" showInputMessage="1" showErrorMessage="1" error="Inches cannot exceed 11" sqref="E2 I2 M2 Q2 U2 Y2 AC2 AG2 AK2 AO2 AS2 AW2">
      <formula1>0</formula1>
      <formula2>11</formula2>
    </dataValidation>
  </dataValidations>
  <hyperlinks>
    <hyperlink ref="AB23" r:id="rId1"/>
  </hyperlinks>
  <pageMargins left="0.25" right="0.25" top="0.75" bottom="0.75" header="0.3" footer="0.3"/>
  <pageSetup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U95"/>
  <sheetViews>
    <sheetView zoomScale="90" zoomScaleNormal="90" workbookViewId="0">
      <selection activeCell="S95" sqref="S95"/>
    </sheetView>
  </sheetViews>
  <sheetFormatPr defaultRowHeight="12.75" x14ac:dyDescent="0.2"/>
  <cols>
    <col min="1" max="1" width="18.5703125" style="1" customWidth="1"/>
    <col min="2" max="3" width="16.140625" style="1" customWidth="1"/>
    <col min="4" max="4" width="17.28515625" style="1" customWidth="1"/>
    <col min="5" max="6" width="15.28515625" style="1" customWidth="1"/>
    <col min="7" max="7" width="19.5703125" style="1" customWidth="1"/>
    <col min="8" max="8" width="21.42578125" style="1" customWidth="1"/>
    <col min="9" max="12" width="19.5703125" style="1" customWidth="1"/>
    <col min="13" max="13" width="21" style="1" customWidth="1"/>
    <col min="14" max="15" width="17.42578125" style="1" customWidth="1"/>
    <col min="16" max="16" width="29.7109375" style="1" customWidth="1"/>
    <col min="17" max="19" width="17.42578125" style="1" customWidth="1"/>
    <col min="20" max="20" width="20" style="1" customWidth="1"/>
    <col min="21" max="21" width="21.7109375" style="1" customWidth="1"/>
    <col min="22" max="16384" width="9.140625" style="1"/>
  </cols>
  <sheetData>
    <row r="1" spans="1:21" ht="24" x14ac:dyDescent="0.2">
      <c r="B1" s="9" t="s">
        <v>4</v>
      </c>
      <c r="C1" s="9" t="s">
        <v>5</v>
      </c>
      <c r="D1" s="9" t="s">
        <v>6</v>
      </c>
      <c r="G1" s="9" t="s">
        <v>95</v>
      </c>
      <c r="I1" s="9" t="s">
        <v>143</v>
      </c>
    </row>
    <row r="2" spans="1:21" x14ac:dyDescent="0.2">
      <c r="A2" s="2" t="s">
        <v>10</v>
      </c>
      <c r="B2" s="3" t="str">
        <f>IF('Weights by Axle'!D2="", "", 'Weights by Axle'!D2)</f>
        <v/>
      </c>
      <c r="C2" s="3" t="str">
        <f>IF('Weights by Axle'!E2="", "", 'Weights by Axle'!E2)</f>
        <v/>
      </c>
      <c r="D2" s="4" t="str">
        <f>IF(B2="", "", (SUM((B2*12)+C2)))</f>
        <v/>
      </c>
      <c r="F2" s="2" t="s">
        <v>97</v>
      </c>
      <c r="G2" s="15" t="str">
        <f>IF('Weights by Axle'!B3="", "", INT('Weights by Axle'!B3))</f>
        <v/>
      </c>
      <c r="I2" s="15">
        <f>IF(B2="", 0, COUNTIF(B2:B13, "&gt;0")+1)</f>
        <v>0</v>
      </c>
    </row>
    <row r="3" spans="1:21" x14ac:dyDescent="0.2">
      <c r="A3" s="2" t="s">
        <v>22</v>
      </c>
      <c r="B3" s="3" t="str">
        <f>IF('Weights by Axle'!H2="", "", 'Weights by Axle'!H2)</f>
        <v/>
      </c>
      <c r="C3" s="3" t="str">
        <f>IF('Weights by Axle'!I2="", "", 'Weights by Axle'!I2)</f>
        <v/>
      </c>
      <c r="D3" s="4" t="str">
        <f t="shared" ref="D3:D13" si="0">IF(B3="", "", (SUM((B3*12)+C3)))</f>
        <v/>
      </c>
      <c r="F3" s="2" t="s">
        <v>98</v>
      </c>
      <c r="G3" s="15" t="str">
        <f>IF('Weights by Axle'!F3="", "", 'Weights by Axle'!F3)</f>
        <v/>
      </c>
    </row>
    <row r="4" spans="1:21" x14ac:dyDescent="0.2">
      <c r="A4" s="2" t="s">
        <v>23</v>
      </c>
      <c r="B4" s="3" t="str">
        <f>IF('Weights by Axle'!L2="", "", 'Weights by Axle'!L2)</f>
        <v/>
      </c>
      <c r="C4" s="3" t="str">
        <f>IF('Weights by Axle'!M2="", "", 'Weights by Axle'!M2)</f>
        <v/>
      </c>
      <c r="D4" s="4" t="str">
        <f t="shared" si="0"/>
        <v/>
      </c>
      <c r="F4" s="2" t="s">
        <v>99</v>
      </c>
      <c r="G4" s="15" t="str">
        <f>IF('Weights by Axle'!J3="", "", 'Weights by Axle'!J3)</f>
        <v/>
      </c>
      <c r="I4" s="93" t="s">
        <v>144</v>
      </c>
    </row>
    <row r="5" spans="1:21" x14ac:dyDescent="0.2">
      <c r="A5" s="2" t="s">
        <v>24</v>
      </c>
      <c r="B5" s="3" t="str">
        <f>IF('Weights by Axle'!P2="", "", 'Weights by Axle'!P2)</f>
        <v/>
      </c>
      <c r="C5" s="3" t="str">
        <f>IF('Weights by Axle'!Q2="", "", 'Weights by Axle'!Q2)</f>
        <v/>
      </c>
      <c r="D5" s="4" t="str">
        <f t="shared" si="0"/>
        <v/>
      </c>
      <c r="F5" s="2" t="s">
        <v>100</v>
      </c>
      <c r="G5" s="15" t="str">
        <f>IF('Weights by Axle'!N3="", "", 'Weights by Axle'!N3)</f>
        <v/>
      </c>
      <c r="I5" s="94"/>
    </row>
    <row r="6" spans="1:21" x14ac:dyDescent="0.2">
      <c r="A6" s="2" t="s">
        <v>25</v>
      </c>
      <c r="B6" s="3" t="str">
        <f>IF('Weights by Axle'!T2="", "", 'Weights by Axle'!T2)</f>
        <v/>
      </c>
      <c r="C6" s="3" t="str">
        <f>IF('Weights by Axle'!U2="", "", 'Weights by Axle'!U2)</f>
        <v/>
      </c>
      <c r="D6" s="4" t="str">
        <f t="shared" si="0"/>
        <v/>
      </c>
      <c r="F6" s="2" t="s">
        <v>101</v>
      </c>
      <c r="G6" s="15" t="str">
        <f>IF('Weights by Axle'!R3="", "", 'Weights by Axle'!R3)</f>
        <v/>
      </c>
      <c r="I6" s="15" t="str">
        <f>CONCATENATE(ROUNDDOWN((SUM(D2:D13)/12),0),"' ",MOD(SUM(D2:D13),12),"""")</f>
        <v>0' 0"</v>
      </c>
    </row>
    <row r="7" spans="1:21" x14ac:dyDescent="0.2">
      <c r="A7" s="2" t="s">
        <v>26</v>
      </c>
      <c r="B7" s="3" t="str">
        <f>IF('Weights by Axle'!X2="", "", 'Weights by Axle'!X2)</f>
        <v/>
      </c>
      <c r="C7" s="3" t="str">
        <f>IF('Weights by Axle'!Y2="", "", 'Weights by Axle'!Y2)</f>
        <v/>
      </c>
      <c r="D7" s="4" t="str">
        <f t="shared" si="0"/>
        <v/>
      </c>
      <c r="F7" s="2" t="s">
        <v>102</v>
      </c>
      <c r="G7" s="15" t="str">
        <f>IF('Weights by Axle'!V3="", "", 'Weights by Axle'!V3)</f>
        <v/>
      </c>
    </row>
    <row r="8" spans="1:21" ht="12.75" customHeight="1" x14ac:dyDescent="0.2">
      <c r="A8" s="2" t="s">
        <v>27</v>
      </c>
      <c r="B8" s="3" t="str">
        <f>IF('Weights by Axle'!AB2="", "", 'Weights by Axle'!AB2)</f>
        <v/>
      </c>
      <c r="C8" s="3" t="str">
        <f>IF('Weights by Axle'!AC2="", "", 'Weights by Axle'!AC2)</f>
        <v/>
      </c>
      <c r="D8" s="4" t="str">
        <f t="shared" si="0"/>
        <v/>
      </c>
      <c r="F8" s="2" t="s">
        <v>103</v>
      </c>
      <c r="G8" s="15" t="str">
        <f>IF('Weights by Axle'!Z3="", "", 'Weights by Axle'!Z3)</f>
        <v/>
      </c>
      <c r="I8" s="93" t="s">
        <v>145</v>
      </c>
    </row>
    <row r="9" spans="1:21" ht="12.75" customHeight="1" x14ac:dyDescent="0.2">
      <c r="A9" s="2" t="s">
        <v>28</v>
      </c>
      <c r="B9" s="3" t="str">
        <f>IF('Weights by Axle'!AF2="", "", 'Weights by Axle'!AF2)</f>
        <v/>
      </c>
      <c r="C9" s="3" t="str">
        <f>IF('Weights by Axle'!AG2="", "", 'Weights by Axle'!AG2)</f>
        <v/>
      </c>
      <c r="D9" s="4" t="str">
        <f t="shared" si="0"/>
        <v/>
      </c>
      <c r="F9" s="2" t="s">
        <v>104</v>
      </c>
      <c r="G9" s="15" t="str">
        <f>IF('Weights by Axle'!AD3="", "", 'Weights by Axle'!AD3)</f>
        <v/>
      </c>
      <c r="I9" s="94"/>
    </row>
    <row r="10" spans="1:21" ht="12.75" customHeight="1" x14ac:dyDescent="0.2">
      <c r="A10" s="2" t="s">
        <v>29</v>
      </c>
      <c r="B10" s="3" t="str">
        <f>IF('Weights by Axle'!AJ2="", "", 'Weights by Axle'!AJ2)</f>
        <v/>
      </c>
      <c r="C10" s="3" t="str">
        <f>IF('Weights by Axle'!AK2="", "", 'Weights by Axle'!AK2)</f>
        <v/>
      </c>
      <c r="D10" s="4" t="str">
        <f t="shared" si="0"/>
        <v/>
      </c>
      <c r="F10" s="2" t="s">
        <v>105</v>
      </c>
      <c r="G10" s="15" t="str">
        <f>IF('Weights by Axle'!AH3="", "", 'Weights by Axle'!AH3)</f>
        <v/>
      </c>
      <c r="I10" s="15" t="str">
        <f>IF(SUM(G2:G14)&lt;=0, "0 lbs.", CONCATENATE(SUM(G2:G14), " lbs."))</f>
        <v>0 lbs.</v>
      </c>
    </row>
    <row r="11" spans="1:21" ht="12.75" customHeight="1" x14ac:dyDescent="0.2">
      <c r="A11" s="2" t="s">
        <v>30</v>
      </c>
      <c r="B11" s="3" t="str">
        <f>IF('Weights by Axle'!AN2="", "", 'Weights by Axle'!AN2)</f>
        <v/>
      </c>
      <c r="C11" s="3" t="str">
        <f>IF('Weights by Axle'!AO2="", "", 'Weights by Axle'!AO2)</f>
        <v/>
      </c>
      <c r="D11" s="4" t="str">
        <f t="shared" si="0"/>
        <v/>
      </c>
      <c r="F11" s="2" t="s">
        <v>106</v>
      </c>
      <c r="G11" s="15" t="str">
        <f>IF('Weights by Axle'!AL3="", "", 'Weights by Axle'!AL3)</f>
        <v/>
      </c>
    </row>
    <row r="12" spans="1:21" ht="12.75" customHeight="1" x14ac:dyDescent="0.2">
      <c r="A12" s="2" t="s">
        <v>31</v>
      </c>
      <c r="B12" s="3" t="str">
        <f>IF('Weights by Axle'!AR2="", "", 'Weights by Axle'!AR2)</f>
        <v/>
      </c>
      <c r="C12" s="3" t="str">
        <f>IF('Weights by Axle'!AS2="", "", 'Weights by Axle'!AS2)</f>
        <v/>
      </c>
      <c r="D12" s="4" t="str">
        <f t="shared" si="0"/>
        <v/>
      </c>
      <c r="F12" s="2" t="s">
        <v>107</v>
      </c>
      <c r="G12" s="15" t="str">
        <f>IF('Weights by Axle'!AP3="", "", 'Weights by Axle'!AP3)</f>
        <v/>
      </c>
    </row>
    <row r="13" spans="1:21" ht="12.75" customHeight="1" x14ac:dyDescent="0.2">
      <c r="A13" s="2" t="s">
        <v>32</v>
      </c>
      <c r="B13" s="3" t="str">
        <f>IF('Weights by Axle'!AV2="", "", 'Weights by Axle'!AV2)</f>
        <v/>
      </c>
      <c r="C13" s="3" t="str">
        <f>IF('Weights by Axle'!AW2="", "", 'Weights by Axle'!AW2)</f>
        <v/>
      </c>
      <c r="D13" s="4" t="str">
        <f t="shared" si="0"/>
        <v/>
      </c>
      <c r="F13" s="2" t="s">
        <v>108</v>
      </c>
      <c r="G13" s="15" t="str">
        <f>IF('Weights by Axle'!AT3="", "", 'Weights by Axle'!AT3)</f>
        <v/>
      </c>
    </row>
    <row r="14" spans="1:21" ht="12.75" customHeight="1" x14ac:dyDescent="0.2">
      <c r="B14" s="7"/>
      <c r="F14" s="2" t="s">
        <v>109</v>
      </c>
      <c r="G14" s="15" t="str">
        <f>IF('Weights by Axle'!AX3="", "", 'Weights by Axle'!AX3)</f>
        <v/>
      </c>
    </row>
    <row r="15" spans="1:21" ht="12.75" customHeight="1" x14ac:dyDescent="0.2"/>
    <row r="16" spans="1:21" ht="24" x14ac:dyDescent="0.2">
      <c r="B16" s="8" t="s">
        <v>33</v>
      </c>
      <c r="C16" s="8" t="s">
        <v>3</v>
      </c>
      <c r="D16" s="8" t="s">
        <v>2</v>
      </c>
      <c r="E16" s="8" t="s">
        <v>7</v>
      </c>
      <c r="F16" s="8" t="s">
        <v>8</v>
      </c>
      <c r="G16" s="8" t="s">
        <v>9</v>
      </c>
      <c r="H16" s="8" t="s">
        <v>136</v>
      </c>
      <c r="I16" s="8" t="s">
        <v>135</v>
      </c>
      <c r="J16" s="8" t="s">
        <v>89</v>
      </c>
      <c r="K16" s="8" t="s">
        <v>93</v>
      </c>
      <c r="L16" s="8" t="s">
        <v>90</v>
      </c>
      <c r="M16" s="8" t="s">
        <v>91</v>
      </c>
      <c r="N16" s="8" t="s">
        <v>92</v>
      </c>
      <c r="O16" s="8" t="s">
        <v>94</v>
      </c>
      <c r="P16" s="8" t="s">
        <v>149</v>
      </c>
      <c r="Q16" s="8" t="s">
        <v>95</v>
      </c>
      <c r="R16" s="8" t="s">
        <v>96</v>
      </c>
      <c r="S16" s="8" t="s">
        <v>115</v>
      </c>
      <c r="T16" s="8" t="s">
        <v>114</v>
      </c>
      <c r="U16" s="8" t="s">
        <v>116</v>
      </c>
    </row>
    <row r="17" spans="1:21" x14ac:dyDescent="0.2">
      <c r="A17" s="2" t="s">
        <v>10</v>
      </c>
      <c r="B17" s="5" t="str">
        <f>IF($B$2="", "", 2)</f>
        <v/>
      </c>
      <c r="C17" s="5" t="str">
        <f>IF(D2="", "", D2)</f>
        <v/>
      </c>
      <c r="D17" s="5" t="str">
        <f>IF(C17="", "", (C17/12))</f>
        <v/>
      </c>
      <c r="E17" s="33" t="str">
        <f t="shared" ref="E17:E28" si="1">IF(D2="", "", (ROUNDDOWN(D17, 0)))</f>
        <v/>
      </c>
      <c r="F17" s="33" t="str">
        <f t="shared" ref="F17:F28" si="2">IF(D2="","",(MOD(C17,12)))</f>
        <v/>
      </c>
      <c r="G17" s="33" t="str">
        <f t="shared" ref="G17:G28" si="3">IF(D2="","",(E17+(IF(F17&lt;=5,0,1))))</f>
        <v/>
      </c>
      <c r="H17" s="6" t="str">
        <f>IF(G17="", "", CONCATENATE(G17, "'"))</f>
        <v/>
      </c>
      <c r="I17" s="6" t="str">
        <f>IF(E17="","",CONCATENATE(E17,"' ",F17,""""))</f>
        <v/>
      </c>
      <c r="J17" s="11" t="str">
        <f>IF($B$2="", "", (SUM(500*((G17*B17)/(B17-1)+(12*B17)+36))))</f>
        <v/>
      </c>
      <c r="K17" s="10" t="str">
        <f>IF(J17="", "", INT(J17))</f>
        <v/>
      </c>
      <c r="L17" s="10" t="str">
        <f>IF(K17="", "", FLOOR(K17, 1000))</f>
        <v/>
      </c>
      <c r="M17" s="10" t="str">
        <f>IF(K17="", "", (VALUE(RIGHT(K17, 3))))</f>
        <v/>
      </c>
      <c r="N17" s="10" t="str">
        <f>IF(K17="", "", IF(M17&lt;=250, 0, IF(M17&lt;=750, 500, 1000)))</f>
        <v/>
      </c>
      <c r="O17" s="10" t="str">
        <f>IF(J17="", "", (SUM(L17+N17)))</f>
        <v/>
      </c>
      <c r="P17" s="37" t="str">
        <f>IF(D2="","",IF(D2&lt;=96,34000,IF(D2&gt;=114,(B17*20000),MIN(O17,129000))))</f>
        <v/>
      </c>
      <c r="Q17" s="13" t="str">
        <f>IF(G3="", "", (SUM(G2:G3)))</f>
        <v/>
      </c>
      <c r="R17" s="13" t="str">
        <f>IF(Q17="", "", (SUM(P17-Q17)))</f>
        <v/>
      </c>
      <c r="S17" s="12" t="str">
        <f>IF(Q17="", "", IF(R17&lt;0, "Over", "Under"))</f>
        <v/>
      </c>
      <c r="T17" s="12" t="str">
        <f>IF(R17="", "", FIXED(ABS(R17),0))</f>
        <v/>
      </c>
      <c r="U17" s="25" t="str">
        <f t="shared" ref="U17:U48" si="4">IF(R17="", "", IF(R17&lt;0,(CONCATENATE(T17," lbs Over")), "Allowed"))</f>
        <v/>
      </c>
    </row>
    <row r="18" spans="1:21" x14ac:dyDescent="0.2">
      <c r="A18" s="2" t="s">
        <v>11</v>
      </c>
      <c r="B18" s="5" t="str">
        <f>IF($B$3="", "", 3)</f>
        <v/>
      </c>
      <c r="C18" s="5" t="str">
        <f>IF(D3="", "", D2+D3)</f>
        <v/>
      </c>
      <c r="D18" s="5" t="str">
        <f t="shared" ref="D18:D81" si="5">IF(C18="", "", (C18/12))</f>
        <v/>
      </c>
      <c r="E18" s="33" t="str">
        <f t="shared" si="1"/>
        <v/>
      </c>
      <c r="F18" s="33" t="str">
        <f t="shared" si="2"/>
        <v/>
      </c>
      <c r="G18" s="33" t="str">
        <f t="shared" si="3"/>
        <v/>
      </c>
      <c r="H18" s="6" t="str">
        <f t="shared" ref="H18:H81" si="6">IF(G18="", "", CONCATENATE(G18, "'"))</f>
        <v/>
      </c>
      <c r="I18" s="6" t="str">
        <f t="shared" ref="I18:I81" si="7">IF(E18="","",CONCATENATE(E18,"' ",F18,""""))</f>
        <v/>
      </c>
      <c r="J18" s="11" t="str">
        <f>IF($B$3="", "", (SUM(500*((G18*B18)/(B18-1)+(12*B18)+36))))</f>
        <v/>
      </c>
      <c r="K18" s="10" t="str">
        <f t="shared" ref="K18:K81" si="8">IF(J18="", "", INT(J18))</f>
        <v/>
      </c>
      <c r="L18" s="10" t="str">
        <f t="shared" ref="L18:L81" si="9">IF(K18="", "", FLOOR(K18, 1000))</f>
        <v/>
      </c>
      <c r="M18" s="10" t="str">
        <f t="shared" ref="M18:M81" si="10">IF(K18="", "", (VALUE(RIGHT(K18, 3))))</f>
        <v/>
      </c>
      <c r="N18" s="10" t="str">
        <f t="shared" ref="N18:N81" si="11">IF(K18="", "", IF(M18&lt;=250, 0, IF(M18&lt;=750, 500, 1000)))</f>
        <v/>
      </c>
      <c r="O18" s="10" t="str">
        <f t="shared" ref="O18:O81" si="12">IF(J18="", "", (SUM(L18+N18)))</f>
        <v/>
      </c>
      <c r="P18" s="37" t="str">
        <f>IF(OR(D2="", D3=""),"",IF(SUM(D2:D3)&lt;=96,34000,IF(SUM(D2:D3)&gt;=384,(B18*20000),MIN(O18,129000))))</f>
        <v/>
      </c>
      <c r="Q18" s="13" t="str">
        <f>IF(G4="", "", (SUM(G2:G4)))</f>
        <v/>
      </c>
      <c r="R18" s="13" t="str">
        <f t="shared" ref="R18:R81" si="13">IF(Q18="", "", (SUM(P18-Q18)))</f>
        <v/>
      </c>
      <c r="S18" s="12" t="str">
        <f t="shared" ref="S18:S81" si="14">IF(Q18="", "", IF(R18&lt;0, "Over", "Under"))</f>
        <v/>
      </c>
      <c r="T18" s="12" t="str">
        <f t="shared" ref="T18:T81" si="15">IF(R18="", "", FIXED(ABS(R18),0))</f>
        <v/>
      </c>
      <c r="U18" s="25" t="str">
        <f t="shared" si="4"/>
        <v/>
      </c>
    </row>
    <row r="19" spans="1:21" x14ac:dyDescent="0.2">
      <c r="A19" s="2" t="s">
        <v>12</v>
      </c>
      <c r="B19" s="5" t="str">
        <f>IF($B$4="", "", 4)</f>
        <v/>
      </c>
      <c r="C19" s="5" t="str">
        <f>IF(D4="", "", D2+D3+D4)</f>
        <v/>
      </c>
      <c r="D19" s="5" t="str">
        <f t="shared" si="5"/>
        <v/>
      </c>
      <c r="E19" s="33" t="str">
        <f t="shared" si="1"/>
        <v/>
      </c>
      <c r="F19" s="33" t="str">
        <f t="shared" si="2"/>
        <v/>
      </c>
      <c r="G19" s="33" t="str">
        <f t="shared" si="3"/>
        <v/>
      </c>
      <c r="H19" s="6" t="str">
        <f t="shared" si="6"/>
        <v/>
      </c>
      <c r="I19" s="6" t="str">
        <f t="shared" si="7"/>
        <v/>
      </c>
      <c r="J19" s="11" t="str">
        <f>IF($B$4="", "", (SUM(500*((G19*B19)/(B19-1)+(12*B19)+36))))</f>
        <v/>
      </c>
      <c r="K19" s="10" t="str">
        <f t="shared" si="8"/>
        <v/>
      </c>
      <c r="L19" s="10" t="str">
        <f t="shared" si="9"/>
        <v/>
      </c>
      <c r="M19" s="10" t="str">
        <f t="shared" si="10"/>
        <v/>
      </c>
      <c r="N19" s="10" t="str">
        <f t="shared" si="11"/>
        <v/>
      </c>
      <c r="O19" s="10" t="str">
        <f t="shared" si="12"/>
        <v/>
      </c>
      <c r="P19" s="37" t="str">
        <f>IF(OR(D2="", D3="", D4=""),"",IF(SUM(D2:D4)&lt;=137,44000,IF(SUM(D2:D4)&gt;=684,(B19*20000),MIN(O19,129000))))</f>
        <v/>
      </c>
      <c r="Q19" s="13" t="str">
        <f>IF(G5="", "", (SUM(G2:G5)))</f>
        <v/>
      </c>
      <c r="R19" s="13" t="str">
        <f t="shared" si="13"/>
        <v/>
      </c>
      <c r="S19" s="12" t="str">
        <f t="shared" si="14"/>
        <v/>
      </c>
      <c r="T19" s="12" t="str">
        <f t="shared" si="15"/>
        <v/>
      </c>
      <c r="U19" s="25" t="str">
        <f t="shared" si="4"/>
        <v/>
      </c>
    </row>
    <row r="20" spans="1:21" x14ac:dyDescent="0.2">
      <c r="A20" s="2" t="s">
        <v>13</v>
      </c>
      <c r="B20" s="5" t="str">
        <f>IF($B$5="", "", 5)</f>
        <v/>
      </c>
      <c r="C20" s="5" t="str">
        <f>IF(D5="", "", D2+D3+D4+D5)</f>
        <v/>
      </c>
      <c r="D20" s="5" t="str">
        <f t="shared" si="5"/>
        <v/>
      </c>
      <c r="E20" s="33" t="str">
        <f t="shared" si="1"/>
        <v/>
      </c>
      <c r="F20" s="33" t="str">
        <f t="shared" si="2"/>
        <v/>
      </c>
      <c r="G20" s="33" t="str">
        <f t="shared" si="3"/>
        <v/>
      </c>
      <c r="H20" s="6" t="str">
        <f t="shared" si="6"/>
        <v/>
      </c>
      <c r="I20" s="6" t="str">
        <f t="shared" si="7"/>
        <v/>
      </c>
      <c r="J20" s="11" t="str">
        <f>IF($B$5="", "", (SUM(500*((G20*B20)/(B20-1)+(12*B20)+36))))</f>
        <v/>
      </c>
      <c r="K20" s="10" t="str">
        <f t="shared" si="8"/>
        <v/>
      </c>
      <c r="L20" s="10" t="str">
        <f t="shared" si="9"/>
        <v/>
      </c>
      <c r="M20" s="10" t="str">
        <f t="shared" si="10"/>
        <v/>
      </c>
      <c r="N20" s="10" t="str">
        <f t="shared" si="11"/>
        <v/>
      </c>
      <c r="O20" s="10" t="str">
        <f t="shared" si="12"/>
        <v/>
      </c>
      <c r="P20" s="37" t="str">
        <f>IF(OR(D2="", D3="", D4="", D5=""),"",IF(SUM(D2:D5)&lt;=185,52000,IF(SUM(D2:D5)&gt;=996,(B20*20000),MIN(O20,129000))))</f>
        <v/>
      </c>
      <c r="Q20" s="13" t="str">
        <f>IF(G6="", "", (SUM(G2:G6)))</f>
        <v/>
      </c>
      <c r="R20" s="13" t="str">
        <f t="shared" si="13"/>
        <v/>
      </c>
      <c r="S20" s="12" t="str">
        <f t="shared" si="14"/>
        <v/>
      </c>
      <c r="T20" s="12" t="str">
        <f t="shared" si="15"/>
        <v/>
      </c>
      <c r="U20" s="25" t="str">
        <f t="shared" si="4"/>
        <v/>
      </c>
    </row>
    <row r="21" spans="1:21" x14ac:dyDescent="0.2">
      <c r="A21" s="2" t="s">
        <v>14</v>
      </c>
      <c r="B21" s="5" t="str">
        <f>IF($B$6="", "", 6)</f>
        <v/>
      </c>
      <c r="C21" s="5" t="str">
        <f>IF(D6="", "", D2+D3+D4+D5+D6)</f>
        <v/>
      </c>
      <c r="D21" s="5" t="str">
        <f t="shared" si="5"/>
        <v/>
      </c>
      <c r="E21" s="33" t="str">
        <f t="shared" si="1"/>
        <v/>
      </c>
      <c r="F21" s="33" t="str">
        <f t="shared" si="2"/>
        <v/>
      </c>
      <c r="G21" s="33" t="str">
        <f t="shared" si="3"/>
        <v/>
      </c>
      <c r="H21" s="6" t="str">
        <f t="shared" si="6"/>
        <v/>
      </c>
      <c r="I21" s="6" t="str">
        <f t="shared" si="7"/>
        <v/>
      </c>
      <c r="J21" s="11" t="str">
        <f>IF($B$6="", "", (SUM(500*((G21*B21)/(B21-1)+(12*B21)+36))))</f>
        <v/>
      </c>
      <c r="K21" s="10" t="str">
        <f t="shared" si="8"/>
        <v/>
      </c>
      <c r="L21" s="10" t="str">
        <f t="shared" si="9"/>
        <v/>
      </c>
      <c r="M21" s="10" t="str">
        <f t="shared" si="10"/>
        <v/>
      </c>
      <c r="N21" s="10" t="str">
        <f t="shared" si="11"/>
        <v/>
      </c>
      <c r="O21" s="10" t="str">
        <f t="shared" si="12"/>
        <v/>
      </c>
      <c r="P21" s="37" t="str">
        <f>IF(OR(D2="", D3="", D4="", D5="",D6=""),"",IF(SUM(D2:D6)&lt;=233,60000,IF(SUM(D2:D6)&gt;=1320,(B21*20000),MIN(O21,129000))))</f>
        <v/>
      </c>
      <c r="Q21" s="13" t="str">
        <f>IF(G7="", "", (SUM(G2:G7)))</f>
        <v/>
      </c>
      <c r="R21" s="13" t="str">
        <f t="shared" si="13"/>
        <v/>
      </c>
      <c r="S21" s="12" t="str">
        <f t="shared" si="14"/>
        <v/>
      </c>
      <c r="T21" s="12" t="str">
        <f t="shared" si="15"/>
        <v/>
      </c>
      <c r="U21" s="25" t="str">
        <f t="shared" si="4"/>
        <v/>
      </c>
    </row>
    <row r="22" spans="1:21" x14ac:dyDescent="0.2">
      <c r="A22" s="2" t="s">
        <v>15</v>
      </c>
      <c r="B22" s="5" t="str">
        <f>IF($B$7="", "", 7)</f>
        <v/>
      </c>
      <c r="C22" s="5" t="str">
        <f>IF(D7="", "", D2+D3+D4+D5+D6+D7)</f>
        <v/>
      </c>
      <c r="D22" s="5" t="str">
        <f t="shared" si="5"/>
        <v/>
      </c>
      <c r="E22" s="33" t="str">
        <f t="shared" si="1"/>
        <v/>
      </c>
      <c r="F22" s="33" t="str">
        <f t="shared" si="2"/>
        <v/>
      </c>
      <c r="G22" s="33" t="str">
        <f t="shared" si="3"/>
        <v/>
      </c>
      <c r="H22" s="6" t="str">
        <f t="shared" si="6"/>
        <v/>
      </c>
      <c r="I22" s="6" t="str">
        <f t="shared" si="7"/>
        <v/>
      </c>
      <c r="J22" s="11" t="str">
        <f>IF($B$7="", "", (SUM(500*((G22*B22)/(B22-1)+(12*B22)+36))))</f>
        <v/>
      </c>
      <c r="K22" s="10" t="str">
        <f t="shared" si="8"/>
        <v/>
      </c>
      <c r="L22" s="10" t="str">
        <f t="shared" si="9"/>
        <v/>
      </c>
      <c r="M22" s="10" t="str">
        <f t="shared" si="10"/>
        <v/>
      </c>
      <c r="N22" s="10" t="str">
        <f t="shared" si="11"/>
        <v/>
      </c>
      <c r="O22" s="10" t="str">
        <f t="shared" si="12"/>
        <v/>
      </c>
      <c r="P22" s="37" t="str">
        <f>IF(OR(D2="", D3="", D4="", D5="",D6="",D7=""),"",IF(SUM(D2:D7)&lt;=281,68000,MIN(O22,129000)))</f>
        <v/>
      </c>
      <c r="Q22" s="13" t="str">
        <f>IF(G8="", "", (SUM(G2:G8)))</f>
        <v/>
      </c>
      <c r="R22" s="13" t="str">
        <f t="shared" si="13"/>
        <v/>
      </c>
      <c r="S22" s="12" t="str">
        <f t="shared" si="14"/>
        <v/>
      </c>
      <c r="T22" s="12" t="str">
        <f t="shared" si="15"/>
        <v/>
      </c>
      <c r="U22" s="25" t="str">
        <f t="shared" si="4"/>
        <v/>
      </c>
    </row>
    <row r="23" spans="1:21" ht="12.75" customHeight="1" x14ac:dyDescent="0.2">
      <c r="A23" s="2" t="s">
        <v>16</v>
      </c>
      <c r="B23" s="5" t="str">
        <f>IF($B$8="", "", 8)</f>
        <v/>
      </c>
      <c r="C23" s="5" t="str">
        <f>IF(D8="", "", D2+D3+D4+D5+D6+D7+D8)</f>
        <v/>
      </c>
      <c r="D23" s="5" t="str">
        <f t="shared" si="5"/>
        <v/>
      </c>
      <c r="E23" s="33" t="str">
        <f t="shared" si="1"/>
        <v/>
      </c>
      <c r="F23" s="33" t="str">
        <f t="shared" si="2"/>
        <v/>
      </c>
      <c r="G23" s="33" t="str">
        <f t="shared" si="3"/>
        <v/>
      </c>
      <c r="H23" s="6" t="str">
        <f t="shared" si="6"/>
        <v/>
      </c>
      <c r="I23" s="6" t="str">
        <f t="shared" si="7"/>
        <v/>
      </c>
      <c r="J23" s="11" t="str">
        <f>IF($B$8="", "", (SUM(500*((G23*B23)/(B23-1)+(12*B23)+36))))</f>
        <v/>
      </c>
      <c r="K23" s="10" t="str">
        <f t="shared" si="8"/>
        <v/>
      </c>
      <c r="L23" s="10" t="str">
        <f t="shared" si="9"/>
        <v/>
      </c>
      <c r="M23" s="10" t="str">
        <f t="shared" si="10"/>
        <v/>
      </c>
      <c r="N23" s="10" t="str">
        <f t="shared" si="11"/>
        <v/>
      </c>
      <c r="O23" s="10" t="str">
        <f t="shared" si="12"/>
        <v/>
      </c>
      <c r="P23" s="37" t="str">
        <f>IF(OR(D2="", D3="", D4="", D5="",D6="",D7="", D8=""),"",IF(SUM(D2:D8)&lt;=329,75500,MIN(O23,129000)))</f>
        <v/>
      </c>
      <c r="Q23" s="13" t="str">
        <f>IF(G9="", "", (SUM(G2:G9)))</f>
        <v/>
      </c>
      <c r="R23" s="13" t="str">
        <f t="shared" si="13"/>
        <v/>
      </c>
      <c r="S23" s="12" t="str">
        <f t="shared" si="14"/>
        <v/>
      </c>
      <c r="T23" s="12" t="str">
        <f t="shared" si="15"/>
        <v/>
      </c>
      <c r="U23" s="25" t="str">
        <f t="shared" si="4"/>
        <v/>
      </c>
    </row>
    <row r="24" spans="1:21" ht="12.75" customHeight="1" x14ac:dyDescent="0.2">
      <c r="A24" s="2" t="s">
        <v>17</v>
      </c>
      <c r="B24" s="5" t="str">
        <f>IF($B$9="", "", 9)</f>
        <v/>
      </c>
      <c r="C24" s="5" t="str">
        <f>IF(D9="", "", D2+D3+D4+D5+D6+D7+D8+D9)</f>
        <v/>
      </c>
      <c r="D24" s="5" t="str">
        <f t="shared" si="5"/>
        <v/>
      </c>
      <c r="E24" s="33" t="str">
        <f t="shared" si="1"/>
        <v/>
      </c>
      <c r="F24" s="33" t="str">
        <f t="shared" si="2"/>
        <v/>
      </c>
      <c r="G24" s="33" t="str">
        <f t="shared" si="3"/>
        <v/>
      </c>
      <c r="H24" s="6" t="str">
        <f t="shared" si="6"/>
        <v/>
      </c>
      <c r="I24" s="6" t="str">
        <f t="shared" si="7"/>
        <v/>
      </c>
      <c r="J24" s="11" t="str">
        <f>IF($B$9="", "", (SUM(500*((G24*B24)/(B24-1)+(12*B24)+36))))</f>
        <v/>
      </c>
      <c r="K24" s="10" t="str">
        <f t="shared" si="8"/>
        <v/>
      </c>
      <c r="L24" s="10" t="str">
        <f t="shared" si="9"/>
        <v/>
      </c>
      <c r="M24" s="10" t="str">
        <f t="shared" si="10"/>
        <v/>
      </c>
      <c r="N24" s="10" t="str">
        <f t="shared" si="11"/>
        <v/>
      </c>
      <c r="O24" s="10" t="str">
        <f t="shared" si="12"/>
        <v/>
      </c>
      <c r="P24" s="37" t="str">
        <f>IF(OR(D2="", D3="", D4="", D5="",D6="",D7="", D8="",D9=""),"",IF(SUM(D2:D9)&lt;=377,83500,MIN(O24,129000)))</f>
        <v/>
      </c>
      <c r="Q24" s="13" t="str">
        <f>IF(G10="", "", (SUM(G2:G10)))</f>
        <v/>
      </c>
      <c r="R24" s="13" t="str">
        <f t="shared" si="13"/>
        <v/>
      </c>
      <c r="S24" s="12" t="str">
        <f t="shared" si="14"/>
        <v/>
      </c>
      <c r="T24" s="12" t="str">
        <f t="shared" si="15"/>
        <v/>
      </c>
      <c r="U24" s="25" t="str">
        <f t="shared" si="4"/>
        <v/>
      </c>
    </row>
    <row r="25" spans="1:21" ht="12.75" customHeight="1" x14ac:dyDescent="0.2">
      <c r="A25" s="2" t="s">
        <v>18</v>
      </c>
      <c r="B25" s="5" t="str">
        <f>IF($B$10="", "", 10)</f>
        <v/>
      </c>
      <c r="C25" s="5" t="str">
        <f>IF(D10="", "", D2+D3+D4+D5+D6+D7+D8+D9+D10)</f>
        <v/>
      </c>
      <c r="D25" s="5" t="str">
        <f t="shared" si="5"/>
        <v/>
      </c>
      <c r="E25" s="33" t="str">
        <f t="shared" si="1"/>
        <v/>
      </c>
      <c r="F25" s="33" t="str">
        <f t="shared" si="2"/>
        <v/>
      </c>
      <c r="G25" s="33" t="str">
        <f t="shared" si="3"/>
        <v/>
      </c>
      <c r="H25" s="6" t="str">
        <f t="shared" si="6"/>
        <v/>
      </c>
      <c r="I25" s="6" t="str">
        <f t="shared" si="7"/>
        <v/>
      </c>
      <c r="J25" s="11" t="str">
        <f>IF($B$10="", "", (SUM(500*((G25*B25)/(B25-1)+(12*B25)+36))))</f>
        <v/>
      </c>
      <c r="K25" s="10" t="str">
        <f t="shared" si="8"/>
        <v/>
      </c>
      <c r="L25" s="10" t="str">
        <f t="shared" si="9"/>
        <v/>
      </c>
      <c r="M25" s="10" t="str">
        <f t="shared" si="10"/>
        <v/>
      </c>
      <c r="N25" s="10" t="str">
        <f t="shared" si="11"/>
        <v/>
      </c>
      <c r="O25" s="10" t="str">
        <f t="shared" si="12"/>
        <v/>
      </c>
      <c r="P25" s="37" t="str">
        <f>IF(OR(D2="", D3="", D4="", D5="",D6="",D7="", D8="",D9="",D10=""),"",IF(SUM(D2:D10)&lt;=425,90000,MIN(O25,129000)))</f>
        <v/>
      </c>
      <c r="Q25" s="13" t="str">
        <f>IF(G11="", "", (SUM(G2:G11)))</f>
        <v/>
      </c>
      <c r="R25" s="13" t="str">
        <f t="shared" si="13"/>
        <v/>
      </c>
      <c r="S25" s="12" t="str">
        <f t="shared" si="14"/>
        <v/>
      </c>
      <c r="T25" s="12" t="str">
        <f t="shared" si="15"/>
        <v/>
      </c>
      <c r="U25" s="25" t="str">
        <f t="shared" si="4"/>
        <v/>
      </c>
    </row>
    <row r="26" spans="1:21" ht="12.75" customHeight="1" x14ac:dyDescent="0.2">
      <c r="A26" s="2" t="s">
        <v>19</v>
      </c>
      <c r="B26" s="5" t="str">
        <f>IF($B$11="", "", 11)</f>
        <v/>
      </c>
      <c r="C26" s="5" t="str">
        <f>IF(D11="", "", D2+D3+D4+D5+D6+D7+D8+D9+D10+D11)</f>
        <v/>
      </c>
      <c r="D26" s="5" t="str">
        <f t="shared" si="5"/>
        <v/>
      </c>
      <c r="E26" s="33" t="str">
        <f t="shared" si="1"/>
        <v/>
      </c>
      <c r="F26" s="33" t="str">
        <f t="shared" si="2"/>
        <v/>
      </c>
      <c r="G26" s="33" t="str">
        <f t="shared" si="3"/>
        <v/>
      </c>
      <c r="H26" s="6" t="str">
        <f t="shared" si="6"/>
        <v/>
      </c>
      <c r="I26" s="6" t="str">
        <f t="shared" si="7"/>
        <v/>
      </c>
      <c r="J26" s="11" t="str">
        <f>IF($B$11="", "", (SUM(500*((G26*B26)/(B26-1)+(12*B26)+36))))</f>
        <v/>
      </c>
      <c r="K26" s="10" t="str">
        <f t="shared" si="8"/>
        <v/>
      </c>
      <c r="L26" s="10" t="str">
        <f t="shared" si="9"/>
        <v/>
      </c>
      <c r="M26" s="10" t="str">
        <f t="shared" si="10"/>
        <v/>
      </c>
      <c r="N26" s="10" t="str">
        <f t="shared" si="11"/>
        <v/>
      </c>
      <c r="O26" s="10" t="str">
        <f t="shared" si="12"/>
        <v/>
      </c>
      <c r="P26" s="37" t="str">
        <f>IF(OR(D2="", D3="", D4="", D5="",D6="",D7="", D8="",D9="",D10="",D11=""),"",IF(SUM(D2:D11)&lt;=473,99500,MIN(O26,129000)))</f>
        <v/>
      </c>
      <c r="Q26" s="13" t="str">
        <f>IF(G12="", "", (SUM(G2:G12)))</f>
        <v/>
      </c>
      <c r="R26" s="13" t="str">
        <f t="shared" si="13"/>
        <v/>
      </c>
      <c r="S26" s="12" t="str">
        <f t="shared" si="14"/>
        <v/>
      </c>
      <c r="T26" s="12" t="str">
        <f t="shared" si="15"/>
        <v/>
      </c>
      <c r="U26" s="25" t="str">
        <f t="shared" si="4"/>
        <v/>
      </c>
    </row>
    <row r="27" spans="1:21" ht="12.75" customHeight="1" x14ac:dyDescent="0.2">
      <c r="A27" s="2" t="s">
        <v>20</v>
      </c>
      <c r="B27" s="5" t="str">
        <f>IF($B$12="", "", 12)</f>
        <v/>
      </c>
      <c r="C27" s="5" t="str">
        <f>IF(D12="", "", D2+D3+D4+D5+D6+D7+D8+D9+D10+D11+D12)</f>
        <v/>
      </c>
      <c r="D27" s="5" t="str">
        <f t="shared" si="5"/>
        <v/>
      </c>
      <c r="E27" s="33" t="str">
        <f t="shared" si="1"/>
        <v/>
      </c>
      <c r="F27" s="33" t="str">
        <f t="shared" si="2"/>
        <v/>
      </c>
      <c r="G27" s="33" t="str">
        <f t="shared" si="3"/>
        <v/>
      </c>
      <c r="H27" s="6" t="str">
        <f t="shared" si="6"/>
        <v/>
      </c>
      <c r="I27" s="6" t="str">
        <f t="shared" si="7"/>
        <v/>
      </c>
      <c r="J27" s="11" t="str">
        <f>IF($B$12="", "", (SUM(500*((G27*B27)/(B27-1)+(12*B27)+36))))</f>
        <v/>
      </c>
      <c r="K27" s="10" t="str">
        <f t="shared" si="8"/>
        <v/>
      </c>
      <c r="L27" s="10" t="str">
        <f t="shared" si="9"/>
        <v/>
      </c>
      <c r="M27" s="10" t="str">
        <f t="shared" si="10"/>
        <v/>
      </c>
      <c r="N27" s="10" t="str">
        <f t="shared" si="11"/>
        <v/>
      </c>
      <c r="O27" s="10" t="str">
        <f t="shared" si="12"/>
        <v/>
      </c>
      <c r="P27" s="37" t="str">
        <f>IF(OR(D2="", D3="", D4="", D5="",D6="",D7="", D8="",D9="",D10="",D11="",D12=""),"",IF(SUM(D2:D12)&lt;=521,109000,MIN(O27,129000)))</f>
        <v/>
      </c>
      <c r="Q27" s="13" t="str">
        <f>IF(G13="", "", (SUM(G2:G13)))</f>
        <v/>
      </c>
      <c r="R27" s="13" t="str">
        <f t="shared" si="13"/>
        <v/>
      </c>
      <c r="S27" s="12" t="str">
        <f t="shared" si="14"/>
        <v/>
      </c>
      <c r="T27" s="12" t="str">
        <f t="shared" si="15"/>
        <v/>
      </c>
      <c r="U27" s="25" t="str">
        <f t="shared" si="4"/>
        <v/>
      </c>
    </row>
    <row r="28" spans="1:21" ht="12.75" customHeight="1" x14ac:dyDescent="0.2">
      <c r="A28" s="2" t="s">
        <v>21</v>
      </c>
      <c r="B28" s="5" t="str">
        <f>IF($B$13="", "", 13)</f>
        <v/>
      </c>
      <c r="C28" s="5" t="str">
        <f>IF(D13="", "", D2+D3+D4+D5+D6+D7+D8+D9+D10+D11+D12+D13)</f>
        <v/>
      </c>
      <c r="D28" s="5" t="str">
        <f t="shared" si="5"/>
        <v/>
      </c>
      <c r="E28" s="33" t="str">
        <f t="shared" si="1"/>
        <v/>
      </c>
      <c r="F28" s="33" t="str">
        <f t="shared" si="2"/>
        <v/>
      </c>
      <c r="G28" s="33" t="str">
        <f t="shared" si="3"/>
        <v/>
      </c>
      <c r="H28" s="6" t="str">
        <f t="shared" si="6"/>
        <v/>
      </c>
      <c r="I28" s="6" t="str">
        <f t="shared" si="7"/>
        <v/>
      </c>
      <c r="J28" s="11" t="str">
        <f>IF($B$13="", "", (SUM(500*((G28*B28)/(B28-1)+(12*B28)+36))))</f>
        <v/>
      </c>
      <c r="K28" s="10" t="str">
        <f t="shared" si="8"/>
        <v/>
      </c>
      <c r="L28" s="10" t="str">
        <f t="shared" si="9"/>
        <v/>
      </c>
      <c r="M28" s="10" t="str">
        <f t="shared" si="10"/>
        <v/>
      </c>
      <c r="N28" s="10" t="str">
        <f t="shared" si="11"/>
        <v/>
      </c>
      <c r="O28" s="10" t="str">
        <f t="shared" si="12"/>
        <v/>
      </c>
      <c r="P28" s="37" t="str">
        <f>IF(OR(D2="", D3="", D4="", D5="",D6="",D7="", D8="",D9="",D10="",D11="",D12="",D13=""),"",IF(SUM(D2:D13)&lt;=569,115500,MIN(O28,129000)))</f>
        <v/>
      </c>
      <c r="Q28" s="13" t="str">
        <f>IF(G14="", "", (SUM(G2:G14)))</f>
        <v/>
      </c>
      <c r="R28" s="13" t="str">
        <f t="shared" si="13"/>
        <v/>
      </c>
      <c r="S28" s="12" t="str">
        <f t="shared" si="14"/>
        <v/>
      </c>
      <c r="T28" s="12" t="str">
        <f t="shared" si="15"/>
        <v/>
      </c>
      <c r="U28" s="25" t="str">
        <f t="shared" si="4"/>
        <v/>
      </c>
    </row>
    <row r="29" spans="1:21" x14ac:dyDescent="0.2">
      <c r="A29" s="2" t="s">
        <v>22</v>
      </c>
      <c r="B29" s="5" t="str">
        <f>IF($B$3="", "", 2)</f>
        <v/>
      </c>
      <c r="C29" s="5" t="str">
        <f>IF(D3="", "", D3)</f>
        <v/>
      </c>
      <c r="D29" s="5" t="str">
        <f>IF(C29="", "", (C29/12))</f>
        <v/>
      </c>
      <c r="E29" s="33" t="str">
        <f t="shared" ref="E29:E39" si="16">IF(D3="", "", (ROUNDDOWN(D29, 0)))</f>
        <v/>
      </c>
      <c r="F29" s="33" t="str">
        <f t="shared" ref="F29:F39" si="17">IF(D3="","",(MOD(C29,12)))</f>
        <v/>
      </c>
      <c r="G29" s="33" t="str">
        <f t="shared" ref="G29:G39" si="18">IF(D3="","",(E29+(IF(F29&lt;=5,0,1))))</f>
        <v/>
      </c>
      <c r="H29" s="6" t="str">
        <f t="shared" si="6"/>
        <v/>
      </c>
      <c r="I29" s="6" t="str">
        <f t="shared" si="7"/>
        <v/>
      </c>
      <c r="J29" s="11" t="str">
        <f>IF($B$3="", "", (SUM(500*((G29*B29)/(B29-1)+(12*B29)+36))))</f>
        <v/>
      </c>
      <c r="K29" s="10" t="str">
        <f t="shared" si="8"/>
        <v/>
      </c>
      <c r="L29" s="10" t="str">
        <f t="shared" si="9"/>
        <v/>
      </c>
      <c r="M29" s="10" t="str">
        <f t="shared" si="10"/>
        <v/>
      </c>
      <c r="N29" s="10" t="str">
        <f t="shared" si="11"/>
        <v/>
      </c>
      <c r="O29" s="10" t="str">
        <f t="shared" si="12"/>
        <v/>
      </c>
      <c r="P29" s="37" t="str">
        <f>IF(D3="","",IF(D3&lt;=96,34000,IF(D3&gt;=114,(B29*20000),MIN(O29,129000))))</f>
        <v/>
      </c>
      <c r="Q29" s="13" t="str">
        <f>IF(G4="", "", (SUM(G3:G4)))</f>
        <v/>
      </c>
      <c r="R29" s="13" t="str">
        <f t="shared" si="13"/>
        <v/>
      </c>
      <c r="S29" s="12" t="str">
        <f t="shared" si="14"/>
        <v/>
      </c>
      <c r="T29" s="12" t="str">
        <f t="shared" si="15"/>
        <v/>
      </c>
      <c r="U29" s="25" t="str">
        <f t="shared" si="4"/>
        <v/>
      </c>
    </row>
    <row r="30" spans="1:21" x14ac:dyDescent="0.2">
      <c r="A30" s="2" t="s">
        <v>34</v>
      </c>
      <c r="B30" s="5" t="str">
        <f>IF($B$4="", "", 3)</f>
        <v/>
      </c>
      <c r="C30" s="5" t="str">
        <f>IF(D4="", "", D3+D4)</f>
        <v/>
      </c>
      <c r="D30" s="5" t="str">
        <f t="shared" si="5"/>
        <v/>
      </c>
      <c r="E30" s="33" t="str">
        <f t="shared" si="16"/>
        <v/>
      </c>
      <c r="F30" s="33" t="str">
        <f t="shared" si="17"/>
        <v/>
      </c>
      <c r="G30" s="33" t="str">
        <f t="shared" si="18"/>
        <v/>
      </c>
      <c r="H30" s="6" t="str">
        <f t="shared" si="6"/>
        <v/>
      </c>
      <c r="I30" s="6" t="str">
        <f t="shared" si="7"/>
        <v/>
      </c>
      <c r="J30" s="11" t="str">
        <f>IF($B$4="", "", (SUM(500*((G30*B30)/(B30-1)+(12*B30)+36))))</f>
        <v/>
      </c>
      <c r="K30" s="10" t="str">
        <f t="shared" si="8"/>
        <v/>
      </c>
      <c r="L30" s="10" t="str">
        <f t="shared" si="9"/>
        <v/>
      </c>
      <c r="M30" s="10" t="str">
        <f t="shared" si="10"/>
        <v/>
      </c>
      <c r="N30" s="10" t="str">
        <f t="shared" si="11"/>
        <v/>
      </c>
      <c r="O30" s="10" t="str">
        <f t="shared" si="12"/>
        <v/>
      </c>
      <c r="P30" s="37" t="str">
        <f>IF(OR(D3="", D4=""),"",IF(SUM(D3:D4)&lt;=96,34000,IF(SUM(D3:D4)&gt;=384,(B30*20000),MIN(O30,129000))))</f>
        <v/>
      </c>
      <c r="Q30" s="13" t="str">
        <f>IF(G5="", "", (SUM(G3:G5)))</f>
        <v/>
      </c>
      <c r="R30" s="13" t="str">
        <f t="shared" si="13"/>
        <v/>
      </c>
      <c r="S30" s="12" t="str">
        <f t="shared" si="14"/>
        <v/>
      </c>
      <c r="T30" s="12" t="str">
        <f t="shared" si="15"/>
        <v/>
      </c>
      <c r="U30" s="25" t="str">
        <f t="shared" si="4"/>
        <v/>
      </c>
    </row>
    <row r="31" spans="1:21" x14ac:dyDescent="0.2">
      <c r="A31" s="2" t="s">
        <v>35</v>
      </c>
      <c r="B31" s="5" t="str">
        <f>IF($B$5="", "", 4)</f>
        <v/>
      </c>
      <c r="C31" s="5" t="str">
        <f>IF(D5="", "", D3+D4+D5)</f>
        <v/>
      </c>
      <c r="D31" s="5" t="str">
        <f t="shared" si="5"/>
        <v/>
      </c>
      <c r="E31" s="33" t="str">
        <f t="shared" si="16"/>
        <v/>
      </c>
      <c r="F31" s="33" t="str">
        <f t="shared" si="17"/>
        <v/>
      </c>
      <c r="G31" s="33" t="str">
        <f t="shared" si="18"/>
        <v/>
      </c>
      <c r="H31" s="6" t="str">
        <f t="shared" si="6"/>
        <v/>
      </c>
      <c r="I31" s="6" t="str">
        <f t="shared" si="7"/>
        <v/>
      </c>
      <c r="J31" s="11" t="str">
        <f>IF($B$5="", "", (SUM(500*((G31*B31)/(B31-1)+(12*B31)+36))))</f>
        <v/>
      </c>
      <c r="K31" s="10" t="str">
        <f t="shared" si="8"/>
        <v/>
      </c>
      <c r="L31" s="10" t="str">
        <f t="shared" si="9"/>
        <v/>
      </c>
      <c r="M31" s="10" t="str">
        <f t="shared" si="10"/>
        <v/>
      </c>
      <c r="N31" s="10" t="str">
        <f t="shared" si="11"/>
        <v/>
      </c>
      <c r="O31" s="10" t="str">
        <f t="shared" si="12"/>
        <v/>
      </c>
      <c r="P31" s="37" t="str">
        <f>IF(OR(D3="", D4="", D5=""),"",IF(SUM(D3:D5)&lt;=137,44000,IF(SUM(D3:D5)&gt;=684,(B31*20000),MIN(O31,129000))))</f>
        <v/>
      </c>
      <c r="Q31" s="13" t="str">
        <f>IF(G6="", "", (SUM(G3:G6)))</f>
        <v/>
      </c>
      <c r="R31" s="13" t="str">
        <f t="shared" si="13"/>
        <v/>
      </c>
      <c r="S31" s="12" t="str">
        <f t="shared" si="14"/>
        <v/>
      </c>
      <c r="T31" s="12" t="str">
        <f t="shared" si="15"/>
        <v/>
      </c>
      <c r="U31" s="25" t="str">
        <f t="shared" si="4"/>
        <v/>
      </c>
    </row>
    <row r="32" spans="1:21" x14ac:dyDescent="0.2">
      <c r="A32" s="2" t="s">
        <v>36</v>
      </c>
      <c r="B32" s="5" t="str">
        <f>IF($B$6="", "", 5)</f>
        <v/>
      </c>
      <c r="C32" s="5" t="str">
        <f>IF(D6="", "", D3+D4+D5+D6)</f>
        <v/>
      </c>
      <c r="D32" s="5" t="str">
        <f t="shared" si="5"/>
        <v/>
      </c>
      <c r="E32" s="33" t="str">
        <f t="shared" si="16"/>
        <v/>
      </c>
      <c r="F32" s="33" t="str">
        <f t="shared" si="17"/>
        <v/>
      </c>
      <c r="G32" s="33" t="str">
        <f t="shared" si="18"/>
        <v/>
      </c>
      <c r="H32" s="6" t="str">
        <f t="shared" si="6"/>
        <v/>
      </c>
      <c r="I32" s="6" t="str">
        <f t="shared" si="7"/>
        <v/>
      </c>
      <c r="J32" s="11" t="str">
        <f>IF($B$6="", "", (SUM(500*((G32*B32)/(B32-1)+(12*B32)+36))))</f>
        <v/>
      </c>
      <c r="K32" s="10" t="str">
        <f t="shared" si="8"/>
        <v/>
      </c>
      <c r="L32" s="10" t="str">
        <f t="shared" si="9"/>
        <v/>
      </c>
      <c r="M32" s="10" t="str">
        <f t="shared" si="10"/>
        <v/>
      </c>
      <c r="N32" s="10" t="str">
        <f t="shared" si="11"/>
        <v/>
      </c>
      <c r="O32" s="10" t="str">
        <f t="shared" si="12"/>
        <v/>
      </c>
      <c r="P32" s="37" t="str">
        <f>IF(OR(D3="", D4="", D5="", D6=""),"",IF(SUM(D3:D6)&lt;=185,52000,IF(SUM(D3:D6)&gt;=996,(B32*20000),MIN(O32,129000))))</f>
        <v/>
      </c>
      <c r="Q32" s="13" t="str">
        <f>IF(G7="", "", (SUM(G3:G7)))</f>
        <v/>
      </c>
      <c r="R32" s="13" t="str">
        <f t="shared" si="13"/>
        <v/>
      </c>
      <c r="S32" s="12" t="str">
        <f t="shared" si="14"/>
        <v/>
      </c>
      <c r="T32" s="12" t="str">
        <f t="shared" si="15"/>
        <v/>
      </c>
      <c r="U32" s="25" t="str">
        <f t="shared" si="4"/>
        <v/>
      </c>
    </row>
    <row r="33" spans="1:21" x14ac:dyDescent="0.2">
      <c r="A33" s="2" t="s">
        <v>37</v>
      </c>
      <c r="B33" s="5" t="str">
        <f>IF($B$7="", "", 6)</f>
        <v/>
      </c>
      <c r="C33" s="5" t="str">
        <f>IF(D7="", "", D3+D4+D5+D6+D7)</f>
        <v/>
      </c>
      <c r="D33" s="5" t="str">
        <f t="shared" si="5"/>
        <v/>
      </c>
      <c r="E33" s="33" t="str">
        <f t="shared" si="16"/>
        <v/>
      </c>
      <c r="F33" s="33" t="str">
        <f t="shared" si="17"/>
        <v/>
      </c>
      <c r="G33" s="33" t="str">
        <f t="shared" si="18"/>
        <v/>
      </c>
      <c r="H33" s="6" t="str">
        <f t="shared" si="6"/>
        <v/>
      </c>
      <c r="I33" s="6" t="str">
        <f t="shared" si="7"/>
        <v/>
      </c>
      <c r="J33" s="11" t="str">
        <f>IF($B$7="", "", (SUM(500*((G33*B33)/(B33-1)+(12*B33)+36))))</f>
        <v/>
      </c>
      <c r="K33" s="10" t="str">
        <f t="shared" si="8"/>
        <v/>
      </c>
      <c r="L33" s="10" t="str">
        <f t="shared" si="9"/>
        <v/>
      </c>
      <c r="M33" s="10" t="str">
        <f t="shared" si="10"/>
        <v/>
      </c>
      <c r="N33" s="10" t="str">
        <f t="shared" si="11"/>
        <v/>
      </c>
      <c r="O33" s="10" t="str">
        <f t="shared" si="12"/>
        <v/>
      </c>
      <c r="P33" s="37" t="str">
        <f>IF(OR(D3="", D4="", D5="", D6="",D7=""),"",IF(SUM(D3:D7)&lt;=233,60000,IF(SUM(D3:D7)&gt;=1320,(B33*20000),MIN(O33,129000))))</f>
        <v/>
      </c>
      <c r="Q33" s="13" t="str">
        <f>IF(G8="", "", (SUM(G3:G8)))</f>
        <v/>
      </c>
      <c r="R33" s="13" t="str">
        <f t="shared" si="13"/>
        <v/>
      </c>
      <c r="S33" s="12" t="str">
        <f t="shared" si="14"/>
        <v/>
      </c>
      <c r="T33" s="12" t="str">
        <f t="shared" si="15"/>
        <v/>
      </c>
      <c r="U33" s="25" t="str">
        <f t="shared" si="4"/>
        <v/>
      </c>
    </row>
    <row r="34" spans="1:21" ht="12.75" customHeight="1" x14ac:dyDescent="0.2">
      <c r="A34" s="2" t="s">
        <v>38</v>
      </c>
      <c r="B34" s="5" t="str">
        <f>IF($B$8="", "", 7)</f>
        <v/>
      </c>
      <c r="C34" s="5" t="str">
        <f>IF(D8="", "", D3+D4+D5+D6+D7+D8)</f>
        <v/>
      </c>
      <c r="D34" s="5" t="str">
        <f t="shared" si="5"/>
        <v/>
      </c>
      <c r="E34" s="33" t="str">
        <f t="shared" si="16"/>
        <v/>
      </c>
      <c r="F34" s="33" t="str">
        <f t="shared" si="17"/>
        <v/>
      </c>
      <c r="G34" s="33" t="str">
        <f t="shared" si="18"/>
        <v/>
      </c>
      <c r="H34" s="6" t="str">
        <f t="shared" si="6"/>
        <v/>
      </c>
      <c r="I34" s="6" t="str">
        <f t="shared" si="7"/>
        <v/>
      </c>
      <c r="J34" s="11" t="str">
        <f>IF($B$8="", "", (SUM(500*((G34*B34)/(B34-1)+(12*B34)+36))))</f>
        <v/>
      </c>
      <c r="K34" s="10" t="str">
        <f t="shared" si="8"/>
        <v/>
      </c>
      <c r="L34" s="10" t="str">
        <f t="shared" si="9"/>
        <v/>
      </c>
      <c r="M34" s="10" t="str">
        <f t="shared" si="10"/>
        <v/>
      </c>
      <c r="N34" s="10" t="str">
        <f t="shared" si="11"/>
        <v/>
      </c>
      <c r="O34" s="10" t="str">
        <f t="shared" si="12"/>
        <v/>
      </c>
      <c r="P34" s="37" t="str">
        <f>IF(OR(D3="", D4="", D5="", D6="",D7="",D8=""),"",IF(SUM(D3:D8)&lt;=281,68000,MIN(O34,129000)))</f>
        <v/>
      </c>
      <c r="Q34" s="13" t="str">
        <f>IF(G9="", "", (SUM(G3:G9)))</f>
        <v/>
      </c>
      <c r="R34" s="13" t="str">
        <f t="shared" si="13"/>
        <v/>
      </c>
      <c r="S34" s="12" t="str">
        <f t="shared" si="14"/>
        <v/>
      </c>
      <c r="T34" s="12" t="str">
        <f t="shared" si="15"/>
        <v/>
      </c>
      <c r="U34" s="25" t="str">
        <f t="shared" si="4"/>
        <v/>
      </c>
    </row>
    <row r="35" spans="1:21" ht="12.75" customHeight="1" x14ac:dyDescent="0.2">
      <c r="A35" s="2" t="s">
        <v>39</v>
      </c>
      <c r="B35" s="5" t="str">
        <f>IF($B$9="", "", 8)</f>
        <v/>
      </c>
      <c r="C35" s="5" t="str">
        <f>IF(D9="", "", D3+D4+D5+D6+D7+D8+D9)</f>
        <v/>
      </c>
      <c r="D35" s="5" t="str">
        <f t="shared" si="5"/>
        <v/>
      </c>
      <c r="E35" s="33" t="str">
        <f t="shared" si="16"/>
        <v/>
      </c>
      <c r="F35" s="33" t="str">
        <f t="shared" si="17"/>
        <v/>
      </c>
      <c r="G35" s="33" t="str">
        <f t="shared" si="18"/>
        <v/>
      </c>
      <c r="H35" s="6" t="str">
        <f t="shared" si="6"/>
        <v/>
      </c>
      <c r="I35" s="6" t="str">
        <f t="shared" si="7"/>
        <v/>
      </c>
      <c r="J35" s="11" t="str">
        <f>IF($B$9="", "", (SUM(500*((G35*B35)/(B35-1)+(12*B35)+36))))</f>
        <v/>
      </c>
      <c r="K35" s="10" t="str">
        <f t="shared" si="8"/>
        <v/>
      </c>
      <c r="L35" s="10" t="str">
        <f t="shared" si="9"/>
        <v/>
      </c>
      <c r="M35" s="10" t="str">
        <f t="shared" si="10"/>
        <v/>
      </c>
      <c r="N35" s="10" t="str">
        <f t="shared" si="11"/>
        <v/>
      </c>
      <c r="O35" s="10" t="str">
        <f t="shared" si="12"/>
        <v/>
      </c>
      <c r="P35" s="37" t="str">
        <f>IF(OR(D3="", D4="", D5="", D6="",D7="",D8="", D9=""),"",IF(SUM(D3:D9)&lt;=329,75500,MIN(O35,129000)))</f>
        <v/>
      </c>
      <c r="Q35" s="13" t="str">
        <f>IF(G10="", "", (SUM(G3:G10)))</f>
        <v/>
      </c>
      <c r="R35" s="13" t="str">
        <f t="shared" si="13"/>
        <v/>
      </c>
      <c r="S35" s="12" t="str">
        <f t="shared" si="14"/>
        <v/>
      </c>
      <c r="T35" s="12" t="str">
        <f t="shared" si="15"/>
        <v/>
      </c>
      <c r="U35" s="25" t="str">
        <f t="shared" si="4"/>
        <v/>
      </c>
    </row>
    <row r="36" spans="1:21" ht="12.75" customHeight="1" x14ac:dyDescent="0.2">
      <c r="A36" s="2" t="s">
        <v>40</v>
      </c>
      <c r="B36" s="5" t="str">
        <f>IF($B$10="", "", 9)</f>
        <v/>
      </c>
      <c r="C36" s="5" t="str">
        <f>IF(D10="", "", D3+D4+D5+D6+D7+D8+D9+D10)</f>
        <v/>
      </c>
      <c r="D36" s="5" t="str">
        <f t="shared" si="5"/>
        <v/>
      </c>
      <c r="E36" s="33" t="str">
        <f t="shared" si="16"/>
        <v/>
      </c>
      <c r="F36" s="33" t="str">
        <f t="shared" si="17"/>
        <v/>
      </c>
      <c r="G36" s="33" t="str">
        <f t="shared" si="18"/>
        <v/>
      </c>
      <c r="H36" s="6" t="str">
        <f t="shared" si="6"/>
        <v/>
      </c>
      <c r="I36" s="6" t="str">
        <f t="shared" si="7"/>
        <v/>
      </c>
      <c r="J36" s="11" t="str">
        <f>IF($B$10="", "", (SUM(500*((G36*B36)/(B36-1)+(12*B36)+36))))</f>
        <v/>
      </c>
      <c r="K36" s="10" t="str">
        <f t="shared" si="8"/>
        <v/>
      </c>
      <c r="L36" s="10" t="str">
        <f t="shared" si="9"/>
        <v/>
      </c>
      <c r="M36" s="10" t="str">
        <f t="shared" si="10"/>
        <v/>
      </c>
      <c r="N36" s="10" t="str">
        <f t="shared" si="11"/>
        <v/>
      </c>
      <c r="O36" s="10" t="str">
        <f t="shared" si="12"/>
        <v/>
      </c>
      <c r="P36" s="37" t="str">
        <f>IF(OR(D3="", D4="", D5="", D6="",D7="",D8="", D9="",D10=""),"",IF(SUM(D3:D10)&lt;=377,83500,MIN(O36,129000)))</f>
        <v/>
      </c>
      <c r="Q36" s="13" t="str">
        <f>IF(G11="", "", (SUM(G3:G11)))</f>
        <v/>
      </c>
      <c r="R36" s="13" t="str">
        <f t="shared" si="13"/>
        <v/>
      </c>
      <c r="S36" s="12" t="str">
        <f t="shared" si="14"/>
        <v/>
      </c>
      <c r="T36" s="12" t="str">
        <f t="shared" si="15"/>
        <v/>
      </c>
      <c r="U36" s="25" t="str">
        <f t="shared" si="4"/>
        <v/>
      </c>
    </row>
    <row r="37" spans="1:21" ht="12.75" customHeight="1" x14ac:dyDescent="0.2">
      <c r="A37" s="2" t="s">
        <v>41</v>
      </c>
      <c r="B37" s="5" t="str">
        <f>IF($B$11="", "", 10)</f>
        <v/>
      </c>
      <c r="C37" s="5" t="str">
        <f>IF(D11="", "", D3+D4+D5+D6+D7+D8+D9+D10+D11)</f>
        <v/>
      </c>
      <c r="D37" s="5" t="str">
        <f t="shared" si="5"/>
        <v/>
      </c>
      <c r="E37" s="33" t="str">
        <f t="shared" si="16"/>
        <v/>
      </c>
      <c r="F37" s="33" t="str">
        <f t="shared" si="17"/>
        <v/>
      </c>
      <c r="G37" s="33" t="str">
        <f t="shared" si="18"/>
        <v/>
      </c>
      <c r="H37" s="6" t="str">
        <f t="shared" si="6"/>
        <v/>
      </c>
      <c r="I37" s="6" t="str">
        <f t="shared" si="7"/>
        <v/>
      </c>
      <c r="J37" s="11" t="str">
        <f>IF($B$11="", "", (SUM(500*((G37*B37)/(B37-1)+(12*B37)+36))))</f>
        <v/>
      </c>
      <c r="K37" s="10" t="str">
        <f t="shared" si="8"/>
        <v/>
      </c>
      <c r="L37" s="10" t="str">
        <f t="shared" si="9"/>
        <v/>
      </c>
      <c r="M37" s="10" t="str">
        <f t="shared" si="10"/>
        <v/>
      </c>
      <c r="N37" s="10" t="str">
        <f t="shared" si="11"/>
        <v/>
      </c>
      <c r="O37" s="10" t="str">
        <f t="shared" si="12"/>
        <v/>
      </c>
      <c r="P37" s="37" t="str">
        <f>IF(OR(D3="", D4="", D5="", D6="",D7="",D8="", D9="",D10="",D11=""),"",IF(SUM(D3:D11)&lt;=425,90000,MIN(O37,129000)))</f>
        <v/>
      </c>
      <c r="Q37" s="13" t="str">
        <f>IF(G12="", "", (SUM(G3:G12)))</f>
        <v/>
      </c>
      <c r="R37" s="13" t="str">
        <f t="shared" si="13"/>
        <v/>
      </c>
      <c r="S37" s="12" t="str">
        <f t="shared" si="14"/>
        <v/>
      </c>
      <c r="T37" s="12" t="str">
        <f t="shared" si="15"/>
        <v/>
      </c>
      <c r="U37" s="25" t="str">
        <f t="shared" si="4"/>
        <v/>
      </c>
    </row>
    <row r="38" spans="1:21" ht="12.75" customHeight="1" x14ac:dyDescent="0.2">
      <c r="A38" s="2" t="s">
        <v>42</v>
      </c>
      <c r="B38" s="5" t="str">
        <f>IF($B$12="", "", 11)</f>
        <v/>
      </c>
      <c r="C38" s="5" t="str">
        <f>IF(D12="", "", D3+D4+D5+D6+D7+D8+D9+D10+D11+D12)</f>
        <v/>
      </c>
      <c r="D38" s="5" t="str">
        <f t="shared" si="5"/>
        <v/>
      </c>
      <c r="E38" s="33" t="str">
        <f t="shared" si="16"/>
        <v/>
      </c>
      <c r="F38" s="33" t="str">
        <f t="shared" si="17"/>
        <v/>
      </c>
      <c r="G38" s="33" t="str">
        <f t="shared" si="18"/>
        <v/>
      </c>
      <c r="H38" s="6" t="str">
        <f t="shared" si="6"/>
        <v/>
      </c>
      <c r="I38" s="6" t="str">
        <f t="shared" si="7"/>
        <v/>
      </c>
      <c r="J38" s="11" t="str">
        <f>IF($B$12="", "", (SUM(500*((G38*B38)/(B38-1)+(12*B38)+36))))</f>
        <v/>
      </c>
      <c r="K38" s="10" t="str">
        <f t="shared" si="8"/>
        <v/>
      </c>
      <c r="L38" s="10" t="str">
        <f t="shared" si="9"/>
        <v/>
      </c>
      <c r="M38" s="10" t="str">
        <f t="shared" si="10"/>
        <v/>
      </c>
      <c r="N38" s="10" t="str">
        <f t="shared" si="11"/>
        <v/>
      </c>
      <c r="O38" s="10" t="str">
        <f t="shared" si="12"/>
        <v/>
      </c>
      <c r="P38" s="37" t="str">
        <f>IF(OR(D3="", D4="", D5="", D6="",D7="",D8="", D9="",D10="",D11="",D12=""),"",IF(SUM(D3:D12)&lt;=473,99500,MIN(O38,129000)))</f>
        <v/>
      </c>
      <c r="Q38" s="13" t="str">
        <f>IF(G13="", "", (SUM(G3:G13)))</f>
        <v/>
      </c>
      <c r="R38" s="13" t="str">
        <f t="shared" si="13"/>
        <v/>
      </c>
      <c r="S38" s="12" t="str">
        <f t="shared" si="14"/>
        <v/>
      </c>
      <c r="T38" s="12" t="str">
        <f t="shared" si="15"/>
        <v/>
      </c>
      <c r="U38" s="25" t="str">
        <f t="shared" si="4"/>
        <v/>
      </c>
    </row>
    <row r="39" spans="1:21" ht="12.75" customHeight="1" x14ac:dyDescent="0.2">
      <c r="A39" s="2" t="s">
        <v>43</v>
      </c>
      <c r="B39" s="5" t="str">
        <f>IF($B$13="", "", 12)</f>
        <v/>
      </c>
      <c r="C39" s="5" t="str">
        <f>IF(D13="", "", D3+D4+D5+D6+D7+D8+D9+D10+D11+D12+D13)</f>
        <v/>
      </c>
      <c r="D39" s="5" t="str">
        <f t="shared" si="5"/>
        <v/>
      </c>
      <c r="E39" s="33" t="str">
        <f t="shared" si="16"/>
        <v/>
      </c>
      <c r="F39" s="33" t="str">
        <f t="shared" si="17"/>
        <v/>
      </c>
      <c r="G39" s="33" t="str">
        <f t="shared" si="18"/>
        <v/>
      </c>
      <c r="H39" s="6" t="str">
        <f t="shared" si="6"/>
        <v/>
      </c>
      <c r="I39" s="6" t="str">
        <f t="shared" si="7"/>
        <v/>
      </c>
      <c r="J39" s="11" t="str">
        <f>IF($B$13="", "", (SUM(500*((G39*B39)/(B39-1)+(12*B39)+36))))</f>
        <v/>
      </c>
      <c r="K39" s="10" t="str">
        <f t="shared" si="8"/>
        <v/>
      </c>
      <c r="L39" s="10" t="str">
        <f t="shared" si="9"/>
        <v/>
      </c>
      <c r="M39" s="10" t="str">
        <f t="shared" si="10"/>
        <v/>
      </c>
      <c r="N39" s="10" t="str">
        <f t="shared" si="11"/>
        <v/>
      </c>
      <c r="O39" s="10" t="str">
        <f t="shared" si="12"/>
        <v/>
      </c>
      <c r="P39" s="37" t="str">
        <f>IF(OR(D3="", D4="", D5="", D6="",D7="",D8="", D9="",D10="",D11="",D12="",D13=""),"",IF(SUM(D3:D13)&lt;=521,109000,MIN(O39,129000)))</f>
        <v/>
      </c>
      <c r="Q39" s="13" t="str">
        <f>IF(G14="", "", (SUM(G3:G14)))</f>
        <v/>
      </c>
      <c r="R39" s="13" t="str">
        <f t="shared" si="13"/>
        <v/>
      </c>
      <c r="S39" s="12" t="str">
        <f t="shared" si="14"/>
        <v/>
      </c>
      <c r="T39" s="12" t="str">
        <f t="shared" si="15"/>
        <v/>
      </c>
      <c r="U39" s="25" t="str">
        <f t="shared" si="4"/>
        <v/>
      </c>
    </row>
    <row r="40" spans="1:21" x14ac:dyDescent="0.2">
      <c r="A40" s="2" t="s">
        <v>23</v>
      </c>
      <c r="B40" s="5" t="str">
        <f>IF($B$4="", "", 2)</f>
        <v/>
      </c>
      <c r="C40" s="5" t="str">
        <f>IF(D4="", "", D4)</f>
        <v/>
      </c>
      <c r="D40" s="5" t="str">
        <f t="shared" si="5"/>
        <v/>
      </c>
      <c r="E40" s="33" t="str">
        <f>IF(D4="", "", (ROUNDDOWN(D40, 0)))</f>
        <v/>
      </c>
      <c r="F40" s="33" t="str">
        <f>IF(D4="","",(MOD(C40,12)))</f>
        <v/>
      </c>
      <c r="G40" s="33" t="str">
        <f>IF(D4="","",(E40+(IF(F40&lt;=5,0,1))))</f>
        <v/>
      </c>
      <c r="H40" s="6" t="str">
        <f t="shared" si="6"/>
        <v/>
      </c>
      <c r="I40" s="6" t="str">
        <f t="shared" si="7"/>
        <v/>
      </c>
      <c r="J40" s="11" t="str">
        <f>IF($B$4="", "", (SUM(500*((G40*B40)/(B40-1)+(12*B40)+36))))</f>
        <v/>
      </c>
      <c r="K40" s="10" t="str">
        <f t="shared" si="8"/>
        <v/>
      </c>
      <c r="L40" s="10" t="str">
        <f t="shared" si="9"/>
        <v/>
      </c>
      <c r="M40" s="10" t="str">
        <f t="shared" si="10"/>
        <v/>
      </c>
      <c r="N40" s="10" t="str">
        <f t="shared" si="11"/>
        <v/>
      </c>
      <c r="O40" s="10" t="str">
        <f t="shared" si="12"/>
        <v/>
      </c>
      <c r="P40" s="37" t="str">
        <f>IF(D4="","",IF(D4&lt;=96,34000,IF(D4&gt;=114,(B40*20000),MIN(O40,129000))))</f>
        <v/>
      </c>
      <c r="Q40" s="13" t="str">
        <f>IF(G5="", "", (SUM(G4:G5)))</f>
        <v/>
      </c>
      <c r="R40" s="13" t="str">
        <f t="shared" si="13"/>
        <v/>
      </c>
      <c r="S40" s="12" t="str">
        <f t="shared" si="14"/>
        <v/>
      </c>
      <c r="T40" s="12" t="str">
        <f t="shared" si="15"/>
        <v/>
      </c>
      <c r="U40" s="25" t="str">
        <f t="shared" si="4"/>
        <v/>
      </c>
    </row>
    <row r="41" spans="1:21" x14ac:dyDescent="0.2">
      <c r="A41" s="2" t="s">
        <v>44</v>
      </c>
      <c r="B41" s="5" t="str">
        <f>IF($B$5="", "", 3)</f>
        <v/>
      </c>
      <c r="C41" s="5" t="str">
        <f>IF(D5="", "", D4+D5)</f>
        <v/>
      </c>
      <c r="D41" s="5" t="str">
        <f t="shared" si="5"/>
        <v/>
      </c>
      <c r="E41" s="33" t="str">
        <f t="shared" ref="E41:E49" si="19">IF(D5="", "", (ROUNDDOWN(D41, 0)))</f>
        <v/>
      </c>
      <c r="F41" s="33" t="str">
        <f t="shared" ref="F41:F49" si="20">IF(D5="","",(MOD(C41,12)))</f>
        <v/>
      </c>
      <c r="G41" s="33" t="str">
        <f t="shared" ref="G41:G49" si="21">IF(D5="","",(E41+(IF(F41&lt;=5,0,1))))</f>
        <v/>
      </c>
      <c r="H41" s="6" t="str">
        <f t="shared" si="6"/>
        <v/>
      </c>
      <c r="I41" s="6" t="str">
        <f t="shared" si="7"/>
        <v/>
      </c>
      <c r="J41" s="11" t="str">
        <f>IF($B$5="", "", (SUM(500*((G41*B41)/(B41-1)+(12*B41)+36))))</f>
        <v/>
      </c>
      <c r="K41" s="10" t="str">
        <f t="shared" si="8"/>
        <v/>
      </c>
      <c r="L41" s="10" t="str">
        <f t="shared" si="9"/>
        <v/>
      </c>
      <c r="M41" s="10" t="str">
        <f t="shared" si="10"/>
        <v/>
      </c>
      <c r="N41" s="10" t="str">
        <f t="shared" si="11"/>
        <v/>
      </c>
      <c r="O41" s="10" t="str">
        <f t="shared" si="12"/>
        <v/>
      </c>
      <c r="P41" s="37" t="str">
        <f>IF(OR(D4="", D5=""),"",IF(SUM(D4:D5)&lt;=96,34000,IF(SUM(D4:D5)&gt;=384,(B41*20000),MIN(O41,129000))))</f>
        <v/>
      </c>
      <c r="Q41" s="13" t="str">
        <f>IF(G6="", "", (SUM(G4:G6)))</f>
        <v/>
      </c>
      <c r="R41" s="13" t="str">
        <f t="shared" si="13"/>
        <v/>
      </c>
      <c r="S41" s="12" t="str">
        <f t="shared" si="14"/>
        <v/>
      </c>
      <c r="T41" s="12" t="str">
        <f t="shared" si="15"/>
        <v/>
      </c>
      <c r="U41" s="25" t="str">
        <f t="shared" si="4"/>
        <v/>
      </c>
    </row>
    <row r="42" spans="1:21" x14ac:dyDescent="0.2">
      <c r="A42" s="2" t="s">
        <v>45</v>
      </c>
      <c r="B42" s="5" t="str">
        <f>IF($B$6="", "", 4)</f>
        <v/>
      </c>
      <c r="C42" s="5" t="str">
        <f>IF(D6="", "", D4+D5+D6)</f>
        <v/>
      </c>
      <c r="D42" s="5" t="str">
        <f t="shared" si="5"/>
        <v/>
      </c>
      <c r="E42" s="33" t="str">
        <f t="shared" si="19"/>
        <v/>
      </c>
      <c r="F42" s="33" t="str">
        <f t="shared" si="20"/>
        <v/>
      </c>
      <c r="G42" s="33" t="str">
        <f t="shared" si="21"/>
        <v/>
      </c>
      <c r="H42" s="6" t="str">
        <f t="shared" si="6"/>
        <v/>
      </c>
      <c r="I42" s="6" t="str">
        <f t="shared" si="7"/>
        <v/>
      </c>
      <c r="J42" s="11" t="str">
        <f>IF($B$6="", "", (SUM(500*((G42*B42)/(B42-1)+(12*B42)+36))))</f>
        <v/>
      </c>
      <c r="K42" s="10" t="str">
        <f t="shared" si="8"/>
        <v/>
      </c>
      <c r="L42" s="10" t="str">
        <f t="shared" si="9"/>
        <v/>
      </c>
      <c r="M42" s="10" t="str">
        <f t="shared" si="10"/>
        <v/>
      </c>
      <c r="N42" s="10" t="str">
        <f t="shared" si="11"/>
        <v/>
      </c>
      <c r="O42" s="10" t="str">
        <f t="shared" si="12"/>
        <v/>
      </c>
      <c r="P42" s="37" t="str">
        <f>IF(OR(D4="", D5="", D6=""),"",IF(SUM(D4:D6)&lt;=137,44000,IF(SUM(D4:D6)&gt;=684,(B42*20000),MIN(O42,129000))))</f>
        <v/>
      </c>
      <c r="Q42" s="13" t="str">
        <f>IF(G7="", "", (SUM(G4:G7)))</f>
        <v/>
      </c>
      <c r="R42" s="13" t="str">
        <f t="shared" si="13"/>
        <v/>
      </c>
      <c r="S42" s="12" t="str">
        <f t="shared" si="14"/>
        <v/>
      </c>
      <c r="T42" s="12" t="str">
        <f t="shared" si="15"/>
        <v/>
      </c>
      <c r="U42" s="25" t="str">
        <f t="shared" si="4"/>
        <v/>
      </c>
    </row>
    <row r="43" spans="1:21" x14ac:dyDescent="0.2">
      <c r="A43" s="2" t="s">
        <v>46</v>
      </c>
      <c r="B43" s="5" t="str">
        <f>IF($B$7="", "", 5)</f>
        <v/>
      </c>
      <c r="C43" s="5" t="str">
        <f>IF(D7="", "", D4+D5+D6+D7)</f>
        <v/>
      </c>
      <c r="D43" s="5" t="str">
        <f t="shared" si="5"/>
        <v/>
      </c>
      <c r="E43" s="33" t="str">
        <f t="shared" si="19"/>
        <v/>
      </c>
      <c r="F43" s="33" t="str">
        <f t="shared" si="20"/>
        <v/>
      </c>
      <c r="G43" s="33" t="str">
        <f t="shared" si="21"/>
        <v/>
      </c>
      <c r="H43" s="6" t="str">
        <f t="shared" si="6"/>
        <v/>
      </c>
      <c r="I43" s="6" t="str">
        <f t="shared" si="7"/>
        <v/>
      </c>
      <c r="J43" s="11" t="str">
        <f>IF($B$7="", "", (SUM(500*((G43*B43)/(B43-1)+(12*B43)+36))))</f>
        <v/>
      </c>
      <c r="K43" s="10" t="str">
        <f t="shared" si="8"/>
        <v/>
      </c>
      <c r="L43" s="10" t="str">
        <f t="shared" si="9"/>
        <v/>
      </c>
      <c r="M43" s="10" t="str">
        <f t="shared" si="10"/>
        <v/>
      </c>
      <c r="N43" s="10" t="str">
        <f t="shared" si="11"/>
        <v/>
      </c>
      <c r="O43" s="10" t="str">
        <f t="shared" si="12"/>
        <v/>
      </c>
      <c r="P43" s="37" t="str">
        <f>IF(OR(D4="", D5="", D6="", D7=""),"",IF(SUM(D4:D7)&lt;=185,52000,IF(SUM(D4:D7)&gt;=996,(B43*20000),MIN(O43,129000))))</f>
        <v/>
      </c>
      <c r="Q43" s="13" t="str">
        <f>IF(G8="", "", (SUM(G4:G8)))</f>
        <v/>
      </c>
      <c r="R43" s="13" t="str">
        <f t="shared" si="13"/>
        <v/>
      </c>
      <c r="S43" s="12" t="str">
        <f t="shared" si="14"/>
        <v/>
      </c>
      <c r="T43" s="12" t="str">
        <f t="shared" si="15"/>
        <v/>
      </c>
      <c r="U43" s="25" t="str">
        <f t="shared" si="4"/>
        <v/>
      </c>
    </row>
    <row r="44" spans="1:21" ht="12.75" customHeight="1" x14ac:dyDescent="0.2">
      <c r="A44" s="2" t="s">
        <v>47</v>
      </c>
      <c r="B44" s="5" t="str">
        <f>IF($B$8="", "", 6)</f>
        <v/>
      </c>
      <c r="C44" s="5" t="str">
        <f>IF(D8="", "", D4+D5+D6+D7+D8)</f>
        <v/>
      </c>
      <c r="D44" s="5" t="str">
        <f t="shared" si="5"/>
        <v/>
      </c>
      <c r="E44" s="33" t="str">
        <f t="shared" si="19"/>
        <v/>
      </c>
      <c r="F44" s="33" t="str">
        <f t="shared" si="20"/>
        <v/>
      </c>
      <c r="G44" s="33" t="str">
        <f t="shared" si="21"/>
        <v/>
      </c>
      <c r="H44" s="6" t="str">
        <f t="shared" si="6"/>
        <v/>
      </c>
      <c r="I44" s="6" t="str">
        <f t="shared" si="7"/>
        <v/>
      </c>
      <c r="J44" s="11" t="str">
        <f>IF($B$8="", "", (SUM(500*((G44*B44)/(B44-1)+(12*B44)+36))))</f>
        <v/>
      </c>
      <c r="K44" s="10" t="str">
        <f t="shared" si="8"/>
        <v/>
      </c>
      <c r="L44" s="10" t="str">
        <f t="shared" si="9"/>
        <v/>
      </c>
      <c r="M44" s="10" t="str">
        <f t="shared" si="10"/>
        <v/>
      </c>
      <c r="N44" s="10" t="str">
        <f t="shared" si="11"/>
        <v/>
      </c>
      <c r="O44" s="10" t="str">
        <f t="shared" si="12"/>
        <v/>
      </c>
      <c r="P44" s="37" t="str">
        <f>IF(OR(D4="", D5="", D6="", D7="",D8=""),"",IF(SUM(D4:D8)&lt;=233,60000,IF(SUM(D4:D8)&gt;=1320,(B44*20000),MIN(O44,129000))))</f>
        <v/>
      </c>
      <c r="Q44" s="13" t="str">
        <f>IF(G9="", "", (SUM(G4:G9)))</f>
        <v/>
      </c>
      <c r="R44" s="13" t="str">
        <f t="shared" si="13"/>
        <v/>
      </c>
      <c r="S44" s="12" t="str">
        <f t="shared" si="14"/>
        <v/>
      </c>
      <c r="T44" s="12" t="str">
        <f t="shared" si="15"/>
        <v/>
      </c>
      <c r="U44" s="25" t="str">
        <f t="shared" si="4"/>
        <v/>
      </c>
    </row>
    <row r="45" spans="1:21" ht="12.75" customHeight="1" x14ac:dyDescent="0.2">
      <c r="A45" s="2" t="s">
        <v>48</v>
      </c>
      <c r="B45" s="5" t="str">
        <f>IF($B$9="", "", 7)</f>
        <v/>
      </c>
      <c r="C45" s="5" t="str">
        <f>IF(D9="", "", D4+D5+D6+D7+D8+D9)</f>
        <v/>
      </c>
      <c r="D45" s="5" t="str">
        <f t="shared" si="5"/>
        <v/>
      </c>
      <c r="E45" s="33" t="str">
        <f t="shared" si="19"/>
        <v/>
      </c>
      <c r="F45" s="33" t="str">
        <f t="shared" si="20"/>
        <v/>
      </c>
      <c r="G45" s="33" t="str">
        <f t="shared" si="21"/>
        <v/>
      </c>
      <c r="H45" s="6" t="str">
        <f t="shared" si="6"/>
        <v/>
      </c>
      <c r="I45" s="6" t="str">
        <f t="shared" si="7"/>
        <v/>
      </c>
      <c r="J45" s="11" t="str">
        <f>IF($B$9="", "", (SUM(500*((G45*B45)/(B45-1)+(12*B45)+36))))</f>
        <v/>
      </c>
      <c r="K45" s="10" t="str">
        <f t="shared" si="8"/>
        <v/>
      </c>
      <c r="L45" s="10" t="str">
        <f t="shared" si="9"/>
        <v/>
      </c>
      <c r="M45" s="10" t="str">
        <f t="shared" si="10"/>
        <v/>
      </c>
      <c r="N45" s="10" t="str">
        <f t="shared" si="11"/>
        <v/>
      </c>
      <c r="O45" s="10" t="str">
        <f t="shared" si="12"/>
        <v/>
      </c>
      <c r="P45" s="37" t="str">
        <f>IF(OR(D4="", D5="", D6="", D7="",D8="",D9=""),"",IF(SUM(D4:D9)&lt;=281,68000,MIN(O45,129000)))</f>
        <v/>
      </c>
      <c r="Q45" s="13" t="str">
        <f>IF(G10="", "", (SUM(G4:G10)))</f>
        <v/>
      </c>
      <c r="R45" s="13" t="str">
        <f t="shared" si="13"/>
        <v/>
      </c>
      <c r="S45" s="12" t="str">
        <f t="shared" si="14"/>
        <v/>
      </c>
      <c r="T45" s="12" t="str">
        <f t="shared" si="15"/>
        <v/>
      </c>
      <c r="U45" s="25" t="str">
        <f t="shared" si="4"/>
        <v/>
      </c>
    </row>
    <row r="46" spans="1:21" ht="12.75" customHeight="1" x14ac:dyDescent="0.2">
      <c r="A46" s="2" t="s">
        <v>49</v>
      </c>
      <c r="B46" s="5" t="str">
        <f>IF($B$10="", "", 8)</f>
        <v/>
      </c>
      <c r="C46" s="5" t="str">
        <f>IF(D10="", "", D4+D5+D6+D7+D8+D9+D10)</f>
        <v/>
      </c>
      <c r="D46" s="5" t="str">
        <f t="shared" si="5"/>
        <v/>
      </c>
      <c r="E46" s="33" t="str">
        <f t="shared" si="19"/>
        <v/>
      </c>
      <c r="F46" s="33" t="str">
        <f t="shared" si="20"/>
        <v/>
      </c>
      <c r="G46" s="33" t="str">
        <f t="shared" si="21"/>
        <v/>
      </c>
      <c r="H46" s="6" t="str">
        <f t="shared" si="6"/>
        <v/>
      </c>
      <c r="I46" s="6" t="str">
        <f t="shared" si="7"/>
        <v/>
      </c>
      <c r="J46" s="11" t="str">
        <f>IF($B$10="", "", (SUM(500*((G46*B46)/(B46-1)+(12*B46)+36))))</f>
        <v/>
      </c>
      <c r="K46" s="10" t="str">
        <f t="shared" si="8"/>
        <v/>
      </c>
      <c r="L46" s="10" t="str">
        <f t="shared" si="9"/>
        <v/>
      </c>
      <c r="M46" s="10" t="str">
        <f t="shared" si="10"/>
        <v/>
      </c>
      <c r="N46" s="10" t="str">
        <f t="shared" si="11"/>
        <v/>
      </c>
      <c r="O46" s="10" t="str">
        <f t="shared" si="12"/>
        <v/>
      </c>
      <c r="P46" s="37" t="str">
        <f>IF(OR(D4="", D5="", D6="", D7="",D8="",D9="", D10=""),"",IF(SUM(D4:D10)&lt;=329,75500,MIN(O46,129000)))</f>
        <v/>
      </c>
      <c r="Q46" s="13" t="str">
        <f>IF(G11="", "", (SUM(G4:G11)))</f>
        <v/>
      </c>
      <c r="R46" s="13" t="str">
        <f t="shared" si="13"/>
        <v/>
      </c>
      <c r="S46" s="12" t="str">
        <f t="shared" si="14"/>
        <v/>
      </c>
      <c r="T46" s="12" t="str">
        <f t="shared" si="15"/>
        <v/>
      </c>
      <c r="U46" s="25" t="str">
        <f t="shared" si="4"/>
        <v/>
      </c>
    </row>
    <row r="47" spans="1:21" ht="12.75" customHeight="1" x14ac:dyDescent="0.2">
      <c r="A47" s="2" t="s">
        <v>50</v>
      </c>
      <c r="B47" s="5" t="str">
        <f>IF($B$11="", "", 9)</f>
        <v/>
      </c>
      <c r="C47" s="5" t="str">
        <f>IF(D11="", "", D4+D5+D6+D7+D8+D9+D10+D11)</f>
        <v/>
      </c>
      <c r="D47" s="5" t="str">
        <f t="shared" si="5"/>
        <v/>
      </c>
      <c r="E47" s="33" t="str">
        <f t="shared" si="19"/>
        <v/>
      </c>
      <c r="F47" s="33" t="str">
        <f t="shared" si="20"/>
        <v/>
      </c>
      <c r="G47" s="33" t="str">
        <f t="shared" si="21"/>
        <v/>
      </c>
      <c r="H47" s="6" t="str">
        <f t="shared" si="6"/>
        <v/>
      </c>
      <c r="I47" s="6" t="str">
        <f t="shared" si="7"/>
        <v/>
      </c>
      <c r="J47" s="11" t="str">
        <f>IF($B$11="", "", (SUM(500*((G47*B47)/(B47-1)+(12*B47)+36))))</f>
        <v/>
      </c>
      <c r="K47" s="10" t="str">
        <f t="shared" si="8"/>
        <v/>
      </c>
      <c r="L47" s="10" t="str">
        <f t="shared" si="9"/>
        <v/>
      </c>
      <c r="M47" s="10" t="str">
        <f t="shared" si="10"/>
        <v/>
      </c>
      <c r="N47" s="10" t="str">
        <f t="shared" si="11"/>
        <v/>
      </c>
      <c r="O47" s="10" t="str">
        <f t="shared" si="12"/>
        <v/>
      </c>
      <c r="P47" s="37" t="str">
        <f>IF(OR(D4="", D5="", D6="", D7="",D8="",D9="", D10="",D11=""),"",IF(SUM(D4:D11)&lt;=377,83500,MIN(O47,129000)))</f>
        <v/>
      </c>
      <c r="Q47" s="13" t="str">
        <f>IF(G12="", "", (SUM(G4:G12)))</f>
        <v/>
      </c>
      <c r="R47" s="13" t="str">
        <f t="shared" si="13"/>
        <v/>
      </c>
      <c r="S47" s="12" t="str">
        <f t="shared" si="14"/>
        <v/>
      </c>
      <c r="T47" s="12" t="str">
        <f t="shared" si="15"/>
        <v/>
      </c>
      <c r="U47" s="25" t="str">
        <f t="shared" si="4"/>
        <v/>
      </c>
    </row>
    <row r="48" spans="1:21" ht="12.75" customHeight="1" x14ac:dyDescent="0.2">
      <c r="A48" s="2" t="s">
        <v>51</v>
      </c>
      <c r="B48" s="5" t="str">
        <f>IF($B$12="", "", 10)</f>
        <v/>
      </c>
      <c r="C48" s="5" t="str">
        <f>IF(D12="", "", D4+D5+D6+D7+D8+D9+D10+D11+D12)</f>
        <v/>
      </c>
      <c r="D48" s="5" t="str">
        <f t="shared" si="5"/>
        <v/>
      </c>
      <c r="E48" s="33" t="str">
        <f t="shared" si="19"/>
        <v/>
      </c>
      <c r="F48" s="33" t="str">
        <f t="shared" si="20"/>
        <v/>
      </c>
      <c r="G48" s="33" t="str">
        <f t="shared" si="21"/>
        <v/>
      </c>
      <c r="H48" s="6" t="str">
        <f t="shared" si="6"/>
        <v/>
      </c>
      <c r="I48" s="6" t="str">
        <f t="shared" si="7"/>
        <v/>
      </c>
      <c r="J48" s="11" t="str">
        <f>IF($B$12="", "", (SUM(500*((G48*B48)/(B48-1)+(12*B48)+36))))</f>
        <v/>
      </c>
      <c r="K48" s="10" t="str">
        <f t="shared" si="8"/>
        <v/>
      </c>
      <c r="L48" s="10" t="str">
        <f t="shared" si="9"/>
        <v/>
      </c>
      <c r="M48" s="10" t="str">
        <f t="shared" si="10"/>
        <v/>
      </c>
      <c r="N48" s="10" t="str">
        <f t="shared" si="11"/>
        <v/>
      </c>
      <c r="O48" s="10" t="str">
        <f t="shared" si="12"/>
        <v/>
      </c>
      <c r="P48" s="37" t="str">
        <f>IF(OR(D4="", D5="", D6="", D7="",D8="",D9="", D10="",D11="",D12=""),"",IF(SUM(D4:D12)&lt;=425,90000,MIN(O48,129000)))</f>
        <v/>
      </c>
      <c r="Q48" s="13" t="str">
        <f>IF(G13="", "", (SUM(G4:G13)))</f>
        <v/>
      </c>
      <c r="R48" s="13" t="str">
        <f t="shared" si="13"/>
        <v/>
      </c>
      <c r="S48" s="12" t="str">
        <f t="shared" si="14"/>
        <v/>
      </c>
      <c r="T48" s="12" t="str">
        <f t="shared" si="15"/>
        <v/>
      </c>
      <c r="U48" s="25" t="str">
        <f t="shared" si="4"/>
        <v/>
      </c>
    </row>
    <row r="49" spans="1:21" ht="12.75" customHeight="1" x14ac:dyDescent="0.2">
      <c r="A49" s="2" t="s">
        <v>52</v>
      </c>
      <c r="B49" s="5" t="str">
        <f>IF($B$13="", "", 11)</f>
        <v/>
      </c>
      <c r="C49" s="5" t="str">
        <f>IF(D13="", "", D4+D5+D6+D7+D8+D9+D10+D11+D12+D13)</f>
        <v/>
      </c>
      <c r="D49" s="5" t="str">
        <f t="shared" si="5"/>
        <v/>
      </c>
      <c r="E49" s="33" t="str">
        <f t="shared" si="19"/>
        <v/>
      </c>
      <c r="F49" s="33" t="str">
        <f t="shared" si="20"/>
        <v/>
      </c>
      <c r="G49" s="33" t="str">
        <f t="shared" si="21"/>
        <v/>
      </c>
      <c r="H49" s="6" t="str">
        <f t="shared" si="6"/>
        <v/>
      </c>
      <c r="I49" s="6" t="str">
        <f t="shared" si="7"/>
        <v/>
      </c>
      <c r="J49" s="11" t="str">
        <f>IF($B$13="", "", (SUM(500*((G49*B49)/(B49-1)+(12*B49)+36))))</f>
        <v/>
      </c>
      <c r="K49" s="10" t="str">
        <f t="shared" si="8"/>
        <v/>
      </c>
      <c r="L49" s="10" t="str">
        <f t="shared" si="9"/>
        <v/>
      </c>
      <c r="M49" s="10" t="str">
        <f t="shared" si="10"/>
        <v/>
      </c>
      <c r="N49" s="10" t="str">
        <f t="shared" si="11"/>
        <v/>
      </c>
      <c r="O49" s="10" t="str">
        <f t="shared" si="12"/>
        <v/>
      </c>
      <c r="P49" s="37" t="str">
        <f>IF(OR(D4="", D5="", D6="", D7="",D8="",D9="", D10="",D11="",D12="",D13=""),"",IF(SUM(D4:D13)&lt;=473,99500,MIN(O49,129000)))</f>
        <v/>
      </c>
      <c r="Q49" s="13" t="str">
        <f>IF(G14="", "", (SUM(G4:G14)))</f>
        <v/>
      </c>
      <c r="R49" s="13" t="str">
        <f t="shared" si="13"/>
        <v/>
      </c>
      <c r="S49" s="12" t="str">
        <f t="shared" si="14"/>
        <v/>
      </c>
      <c r="T49" s="12" t="str">
        <f t="shared" si="15"/>
        <v/>
      </c>
      <c r="U49" s="25" t="str">
        <f t="shared" ref="U49:U80" si="22">IF(R49="", "", IF(R49&lt;0,(CONCATENATE(T49," lbs Over")), "Allowed"))</f>
        <v/>
      </c>
    </row>
    <row r="50" spans="1:21" x14ac:dyDescent="0.2">
      <c r="A50" s="2" t="s">
        <v>24</v>
      </c>
      <c r="B50" s="5" t="str">
        <f>IF($B$5="", "", 2)</f>
        <v/>
      </c>
      <c r="C50" s="5" t="str">
        <f>IF(D5="", "", D5)</f>
        <v/>
      </c>
      <c r="D50" s="5" t="str">
        <f t="shared" si="5"/>
        <v/>
      </c>
      <c r="E50" s="33" t="str">
        <f>IF(D5="", "", (ROUNDDOWN(D50, 0)))</f>
        <v/>
      </c>
      <c r="F50" s="33" t="str">
        <f>IF(D5="","",(MOD(C50,12)))</f>
        <v/>
      </c>
      <c r="G50" s="33" t="str">
        <f>IF(D5="","",(E50+(IF(F50&lt;=5,0,1))))</f>
        <v/>
      </c>
      <c r="H50" s="6" t="str">
        <f t="shared" si="6"/>
        <v/>
      </c>
      <c r="I50" s="6" t="str">
        <f t="shared" si="7"/>
        <v/>
      </c>
      <c r="J50" s="11" t="str">
        <f>IF($B$5="", "", (SUM(500*((G50*B50)/(B50-1)+(12*B50)+36))))</f>
        <v/>
      </c>
      <c r="K50" s="10" t="str">
        <f t="shared" si="8"/>
        <v/>
      </c>
      <c r="L50" s="10" t="str">
        <f t="shared" si="9"/>
        <v/>
      </c>
      <c r="M50" s="10" t="str">
        <f t="shared" si="10"/>
        <v/>
      </c>
      <c r="N50" s="10" t="str">
        <f t="shared" si="11"/>
        <v/>
      </c>
      <c r="O50" s="10" t="str">
        <f t="shared" si="12"/>
        <v/>
      </c>
      <c r="P50" s="37" t="str">
        <f>IF(D5="","",IF(D5&lt;=96,34000,IF(D5&gt;=114,(B50*20000),MIN(O50,129000))))</f>
        <v/>
      </c>
      <c r="Q50" s="13" t="str">
        <f>IF(G6="", "", (SUM(G5:G6)))</f>
        <v/>
      </c>
      <c r="R50" s="13" t="str">
        <f t="shared" si="13"/>
        <v/>
      </c>
      <c r="S50" s="12" t="str">
        <f t="shared" si="14"/>
        <v/>
      </c>
      <c r="T50" s="12" t="str">
        <f t="shared" si="15"/>
        <v/>
      </c>
      <c r="U50" s="25" t="str">
        <f t="shared" si="22"/>
        <v/>
      </c>
    </row>
    <row r="51" spans="1:21" x14ac:dyDescent="0.2">
      <c r="A51" s="2" t="s">
        <v>53</v>
      </c>
      <c r="B51" s="5" t="str">
        <f>IF($B$6="", "", 3)</f>
        <v/>
      </c>
      <c r="C51" s="5" t="str">
        <f>IF(D6="", "", D5+D6)</f>
        <v/>
      </c>
      <c r="D51" s="5" t="str">
        <f t="shared" si="5"/>
        <v/>
      </c>
      <c r="E51" s="33" t="str">
        <f t="shared" ref="E51:E58" si="23">IF(D6="", "", (ROUNDDOWN(D51, 0)))</f>
        <v/>
      </c>
      <c r="F51" s="33" t="str">
        <f t="shared" ref="F51:F58" si="24">IF(D6="","",(MOD(C51,12)))</f>
        <v/>
      </c>
      <c r="G51" s="33" t="str">
        <f t="shared" ref="G51:G58" si="25">IF(D6="","",(E51+(IF(F51&lt;=5,0,1))))</f>
        <v/>
      </c>
      <c r="H51" s="6" t="str">
        <f t="shared" si="6"/>
        <v/>
      </c>
      <c r="I51" s="6" t="str">
        <f t="shared" si="7"/>
        <v/>
      </c>
      <c r="J51" s="11" t="str">
        <f>IF($B$6="", "", (SUM(500*((G51*B51)/(B51-1)+(12*B51)+36))))</f>
        <v/>
      </c>
      <c r="K51" s="10" t="str">
        <f t="shared" si="8"/>
        <v/>
      </c>
      <c r="L51" s="10" t="str">
        <f t="shared" si="9"/>
        <v/>
      </c>
      <c r="M51" s="10" t="str">
        <f t="shared" si="10"/>
        <v/>
      </c>
      <c r="N51" s="10" t="str">
        <f t="shared" si="11"/>
        <v/>
      </c>
      <c r="O51" s="10" t="str">
        <f t="shared" si="12"/>
        <v/>
      </c>
      <c r="P51" s="37" t="str">
        <f>IF(OR(D5="", D6=""),"",IF(SUM(D5:D6)&lt;=96,34000,IF(SUM(D5:D6)&gt;=384,(B51*20000),MIN(O51,129000))))</f>
        <v/>
      </c>
      <c r="Q51" s="13" t="str">
        <f>IF(G7="", "", (SUM(G5:G7)))</f>
        <v/>
      </c>
      <c r="R51" s="13" t="str">
        <f t="shared" si="13"/>
        <v/>
      </c>
      <c r="S51" s="12" t="str">
        <f t="shared" si="14"/>
        <v/>
      </c>
      <c r="T51" s="12" t="str">
        <f t="shared" si="15"/>
        <v/>
      </c>
      <c r="U51" s="25" t="str">
        <f t="shared" si="22"/>
        <v/>
      </c>
    </row>
    <row r="52" spans="1:21" x14ac:dyDescent="0.2">
      <c r="A52" s="2" t="s">
        <v>54</v>
      </c>
      <c r="B52" s="5" t="str">
        <f>IF($B$7="", "", 4)</f>
        <v/>
      </c>
      <c r="C52" s="5" t="str">
        <f>IF(D7="", "", D5+D6+D7)</f>
        <v/>
      </c>
      <c r="D52" s="5" t="str">
        <f t="shared" si="5"/>
        <v/>
      </c>
      <c r="E52" s="33" t="str">
        <f t="shared" si="23"/>
        <v/>
      </c>
      <c r="F52" s="33" t="str">
        <f t="shared" si="24"/>
        <v/>
      </c>
      <c r="G52" s="33" t="str">
        <f t="shared" si="25"/>
        <v/>
      </c>
      <c r="H52" s="6" t="str">
        <f t="shared" si="6"/>
        <v/>
      </c>
      <c r="I52" s="6" t="str">
        <f t="shared" si="7"/>
        <v/>
      </c>
      <c r="J52" s="11" t="str">
        <f>IF($B$7="", "", (SUM(500*((G52*B52)/(B52-1)+(12*B52)+36))))</f>
        <v/>
      </c>
      <c r="K52" s="10" t="str">
        <f t="shared" si="8"/>
        <v/>
      </c>
      <c r="L52" s="10" t="str">
        <f t="shared" si="9"/>
        <v/>
      </c>
      <c r="M52" s="10" t="str">
        <f t="shared" si="10"/>
        <v/>
      </c>
      <c r="N52" s="10" t="str">
        <f t="shared" si="11"/>
        <v/>
      </c>
      <c r="O52" s="10" t="str">
        <f t="shared" si="12"/>
        <v/>
      </c>
      <c r="P52" s="37" t="str">
        <f>IF(OR(D5="", D6="", D7=""),"",IF(SUM(D5:D7)&lt;=137,44000,IF(SUM(D5:D7)&gt;=684,(B52*20000),MIN(O52,129000))))</f>
        <v/>
      </c>
      <c r="Q52" s="13" t="str">
        <f>IF(G8="", "", (SUM(G5:G8)))</f>
        <v/>
      </c>
      <c r="R52" s="13" t="str">
        <f t="shared" si="13"/>
        <v/>
      </c>
      <c r="S52" s="12" t="str">
        <f t="shared" si="14"/>
        <v/>
      </c>
      <c r="T52" s="12" t="str">
        <f t="shared" si="15"/>
        <v/>
      </c>
      <c r="U52" s="25" t="str">
        <f t="shared" si="22"/>
        <v/>
      </c>
    </row>
    <row r="53" spans="1:21" ht="12.75" customHeight="1" x14ac:dyDescent="0.2">
      <c r="A53" s="2" t="s">
        <v>55</v>
      </c>
      <c r="B53" s="5" t="str">
        <f>IF($B$8="", "", 5)</f>
        <v/>
      </c>
      <c r="C53" s="5" t="str">
        <f>IF(D8="", "", D5+D6+D7+D8)</f>
        <v/>
      </c>
      <c r="D53" s="5" t="str">
        <f t="shared" si="5"/>
        <v/>
      </c>
      <c r="E53" s="33" t="str">
        <f t="shared" si="23"/>
        <v/>
      </c>
      <c r="F53" s="33" t="str">
        <f t="shared" si="24"/>
        <v/>
      </c>
      <c r="G53" s="33" t="str">
        <f t="shared" si="25"/>
        <v/>
      </c>
      <c r="H53" s="6" t="str">
        <f t="shared" si="6"/>
        <v/>
      </c>
      <c r="I53" s="6" t="str">
        <f t="shared" si="7"/>
        <v/>
      </c>
      <c r="J53" s="11" t="str">
        <f>IF($B$8="", "", (SUM(500*((G53*B53)/(B53-1)+(12*B53)+36))))</f>
        <v/>
      </c>
      <c r="K53" s="10" t="str">
        <f t="shared" si="8"/>
        <v/>
      </c>
      <c r="L53" s="10" t="str">
        <f t="shared" si="9"/>
        <v/>
      </c>
      <c r="M53" s="10" t="str">
        <f t="shared" si="10"/>
        <v/>
      </c>
      <c r="N53" s="10" t="str">
        <f t="shared" si="11"/>
        <v/>
      </c>
      <c r="O53" s="10" t="str">
        <f t="shared" si="12"/>
        <v/>
      </c>
      <c r="P53" s="37" t="str">
        <f>IF(OR(D5="", D6="", D7="", D8=""),"",IF(SUM(D5:D8)&lt;=185,52000,IF(SUM(D5:D8)&gt;=996,(B53*20000),MIN(O53,129000))))</f>
        <v/>
      </c>
      <c r="Q53" s="13" t="str">
        <f>IF(G9="", "", (SUM(G5:G9)))</f>
        <v/>
      </c>
      <c r="R53" s="13" t="str">
        <f t="shared" si="13"/>
        <v/>
      </c>
      <c r="S53" s="12" t="str">
        <f t="shared" si="14"/>
        <v/>
      </c>
      <c r="T53" s="12" t="str">
        <f t="shared" si="15"/>
        <v/>
      </c>
      <c r="U53" s="25" t="str">
        <f t="shared" si="22"/>
        <v/>
      </c>
    </row>
    <row r="54" spans="1:21" ht="12.75" customHeight="1" x14ac:dyDescent="0.2">
      <c r="A54" s="2" t="s">
        <v>56</v>
      </c>
      <c r="B54" s="5" t="str">
        <f>IF($B$9="", "", 6)</f>
        <v/>
      </c>
      <c r="C54" s="5" t="str">
        <f>IF(D9="", "", D5+D6+D7+D8+D9)</f>
        <v/>
      </c>
      <c r="D54" s="5" t="str">
        <f t="shared" si="5"/>
        <v/>
      </c>
      <c r="E54" s="33" t="str">
        <f t="shared" si="23"/>
        <v/>
      </c>
      <c r="F54" s="33" t="str">
        <f t="shared" si="24"/>
        <v/>
      </c>
      <c r="G54" s="33" t="str">
        <f t="shared" si="25"/>
        <v/>
      </c>
      <c r="H54" s="6" t="str">
        <f t="shared" si="6"/>
        <v/>
      </c>
      <c r="I54" s="6" t="str">
        <f t="shared" si="7"/>
        <v/>
      </c>
      <c r="J54" s="11" t="str">
        <f>IF($B$9="", "", (SUM(500*((G54*B54)/(B54-1)+(12*B54)+36))))</f>
        <v/>
      </c>
      <c r="K54" s="10" t="str">
        <f t="shared" si="8"/>
        <v/>
      </c>
      <c r="L54" s="10" t="str">
        <f t="shared" si="9"/>
        <v/>
      </c>
      <c r="M54" s="10" t="str">
        <f t="shared" si="10"/>
        <v/>
      </c>
      <c r="N54" s="10" t="str">
        <f t="shared" si="11"/>
        <v/>
      </c>
      <c r="O54" s="10" t="str">
        <f t="shared" si="12"/>
        <v/>
      </c>
      <c r="P54" s="37" t="str">
        <f>IF(OR(D5="", D6="", D7="", D8="",D9=""),"",IF(SUM(D5:D9)&lt;=233,60000,IF(SUM(D5:D9)&gt;=1320,(B54*20000),MIN(O54,129000))))</f>
        <v/>
      </c>
      <c r="Q54" s="13" t="str">
        <f>IF(G10="", "", (SUM(G5:G10)))</f>
        <v/>
      </c>
      <c r="R54" s="13" t="str">
        <f t="shared" si="13"/>
        <v/>
      </c>
      <c r="S54" s="12" t="str">
        <f t="shared" si="14"/>
        <v/>
      </c>
      <c r="T54" s="12" t="str">
        <f t="shared" si="15"/>
        <v/>
      </c>
      <c r="U54" s="25" t="str">
        <f t="shared" si="22"/>
        <v/>
      </c>
    </row>
    <row r="55" spans="1:21" ht="12.75" customHeight="1" x14ac:dyDescent="0.2">
      <c r="A55" s="2" t="s">
        <v>57</v>
      </c>
      <c r="B55" s="5" t="str">
        <f>IF($B$10="", "", 7)</f>
        <v/>
      </c>
      <c r="C55" s="5" t="str">
        <f>IF(D10="", "", D5+D6+D7+D8+D9+D10)</f>
        <v/>
      </c>
      <c r="D55" s="5" t="str">
        <f t="shared" si="5"/>
        <v/>
      </c>
      <c r="E55" s="33" t="str">
        <f t="shared" si="23"/>
        <v/>
      </c>
      <c r="F55" s="33" t="str">
        <f t="shared" si="24"/>
        <v/>
      </c>
      <c r="G55" s="33" t="str">
        <f t="shared" si="25"/>
        <v/>
      </c>
      <c r="H55" s="6" t="str">
        <f t="shared" si="6"/>
        <v/>
      </c>
      <c r="I55" s="6" t="str">
        <f t="shared" si="7"/>
        <v/>
      </c>
      <c r="J55" s="11" t="str">
        <f>IF($B$10="", "", (SUM(500*((G55*B55)/(B55-1)+(12*B55)+36))))</f>
        <v/>
      </c>
      <c r="K55" s="10" t="str">
        <f t="shared" si="8"/>
        <v/>
      </c>
      <c r="L55" s="10" t="str">
        <f t="shared" si="9"/>
        <v/>
      </c>
      <c r="M55" s="10" t="str">
        <f t="shared" si="10"/>
        <v/>
      </c>
      <c r="N55" s="10" t="str">
        <f t="shared" si="11"/>
        <v/>
      </c>
      <c r="O55" s="10" t="str">
        <f t="shared" si="12"/>
        <v/>
      </c>
      <c r="P55" s="37" t="str">
        <f>IF(OR(D5="", D6="", D7="", D8="",D9="",D10=""),"",IF(SUM(D5:D10)&lt;=281,68000,MIN(O55,129000)))</f>
        <v/>
      </c>
      <c r="Q55" s="13" t="str">
        <f>IF(G11="", "", (SUM(G5:G11)))</f>
        <v/>
      </c>
      <c r="R55" s="13" t="str">
        <f t="shared" si="13"/>
        <v/>
      </c>
      <c r="S55" s="12" t="str">
        <f t="shared" si="14"/>
        <v/>
      </c>
      <c r="T55" s="12" t="str">
        <f t="shared" si="15"/>
        <v/>
      </c>
      <c r="U55" s="25" t="str">
        <f t="shared" si="22"/>
        <v/>
      </c>
    </row>
    <row r="56" spans="1:21" ht="12.75" customHeight="1" x14ac:dyDescent="0.2">
      <c r="A56" s="2" t="s">
        <v>58</v>
      </c>
      <c r="B56" s="5" t="str">
        <f>IF($B$11="", "", 8)</f>
        <v/>
      </c>
      <c r="C56" s="5" t="str">
        <f>IF(D11="", "", D5+D6+D7+D8+D9+D10+D11)</f>
        <v/>
      </c>
      <c r="D56" s="5" t="str">
        <f t="shared" si="5"/>
        <v/>
      </c>
      <c r="E56" s="33" t="str">
        <f t="shared" si="23"/>
        <v/>
      </c>
      <c r="F56" s="33" t="str">
        <f t="shared" si="24"/>
        <v/>
      </c>
      <c r="G56" s="33" t="str">
        <f t="shared" si="25"/>
        <v/>
      </c>
      <c r="H56" s="6" t="str">
        <f t="shared" si="6"/>
        <v/>
      </c>
      <c r="I56" s="6" t="str">
        <f t="shared" si="7"/>
        <v/>
      </c>
      <c r="J56" s="11" t="str">
        <f>IF($B$11="", "", (SUM(500*((G56*B56)/(B56-1)+(12*B56)+36))))</f>
        <v/>
      </c>
      <c r="K56" s="10" t="str">
        <f t="shared" si="8"/>
        <v/>
      </c>
      <c r="L56" s="10" t="str">
        <f t="shared" si="9"/>
        <v/>
      </c>
      <c r="M56" s="10" t="str">
        <f t="shared" si="10"/>
        <v/>
      </c>
      <c r="N56" s="10" t="str">
        <f t="shared" si="11"/>
        <v/>
      </c>
      <c r="O56" s="10" t="str">
        <f t="shared" si="12"/>
        <v/>
      </c>
      <c r="P56" s="37" t="str">
        <f>IF(OR(D5="", D6="", D7="", D8="",D9="",D10="", D11=""),"",IF(SUM(D5:D11)&lt;=329,75500,MIN(O56,129000)))</f>
        <v/>
      </c>
      <c r="Q56" s="13" t="str">
        <f>IF(G12="", "", (SUM(G5:G12)))</f>
        <v/>
      </c>
      <c r="R56" s="13" t="str">
        <f t="shared" si="13"/>
        <v/>
      </c>
      <c r="S56" s="12" t="str">
        <f t="shared" si="14"/>
        <v/>
      </c>
      <c r="T56" s="12" t="str">
        <f t="shared" si="15"/>
        <v/>
      </c>
      <c r="U56" s="25" t="str">
        <f t="shared" si="22"/>
        <v/>
      </c>
    </row>
    <row r="57" spans="1:21" ht="12.75" customHeight="1" x14ac:dyDescent="0.2">
      <c r="A57" s="2" t="s">
        <v>59</v>
      </c>
      <c r="B57" s="5" t="str">
        <f>IF($B$12="", "", 9)</f>
        <v/>
      </c>
      <c r="C57" s="5" t="str">
        <f>IF(D12="", "", D5+D6+D7+D8+D9+D10+D11+D12)</f>
        <v/>
      </c>
      <c r="D57" s="5" t="str">
        <f t="shared" si="5"/>
        <v/>
      </c>
      <c r="E57" s="33" t="str">
        <f t="shared" si="23"/>
        <v/>
      </c>
      <c r="F57" s="33" t="str">
        <f t="shared" si="24"/>
        <v/>
      </c>
      <c r="G57" s="33" t="str">
        <f t="shared" si="25"/>
        <v/>
      </c>
      <c r="H57" s="6" t="str">
        <f t="shared" si="6"/>
        <v/>
      </c>
      <c r="I57" s="6" t="str">
        <f t="shared" si="7"/>
        <v/>
      </c>
      <c r="J57" s="11" t="str">
        <f>IF($B$12="", "", (SUM(500*((G57*B57)/(B57-1)+(12*B57)+36))))</f>
        <v/>
      </c>
      <c r="K57" s="10" t="str">
        <f t="shared" si="8"/>
        <v/>
      </c>
      <c r="L57" s="10" t="str">
        <f t="shared" si="9"/>
        <v/>
      </c>
      <c r="M57" s="10" t="str">
        <f t="shared" si="10"/>
        <v/>
      </c>
      <c r="N57" s="10" t="str">
        <f t="shared" si="11"/>
        <v/>
      </c>
      <c r="O57" s="10" t="str">
        <f t="shared" si="12"/>
        <v/>
      </c>
      <c r="P57" s="37" t="str">
        <f>IF(OR(D5="", D6="", D7="", D8="",D9="",D10="", D11="",D12=""),"",IF(SUM(D5:D12)&lt;=377,83500,MIN(O57,129000)))</f>
        <v/>
      </c>
      <c r="Q57" s="13" t="str">
        <f>IF(G13="", "", (SUM(G5:G13)))</f>
        <v/>
      </c>
      <c r="R57" s="13" t="str">
        <f t="shared" si="13"/>
        <v/>
      </c>
      <c r="S57" s="12" t="str">
        <f t="shared" si="14"/>
        <v/>
      </c>
      <c r="T57" s="12" t="str">
        <f t="shared" si="15"/>
        <v/>
      </c>
      <c r="U57" s="25" t="str">
        <f t="shared" si="22"/>
        <v/>
      </c>
    </row>
    <row r="58" spans="1:21" ht="12.75" customHeight="1" x14ac:dyDescent="0.2">
      <c r="A58" s="2" t="s">
        <v>60</v>
      </c>
      <c r="B58" s="5" t="str">
        <f>IF($B$13="", "", 10)</f>
        <v/>
      </c>
      <c r="C58" s="5" t="str">
        <f>IF(D13="", "", D5+D6+D7+D8+D9+D10+D11+D12+D13)</f>
        <v/>
      </c>
      <c r="D58" s="5" t="str">
        <f t="shared" si="5"/>
        <v/>
      </c>
      <c r="E58" s="33" t="str">
        <f t="shared" si="23"/>
        <v/>
      </c>
      <c r="F58" s="33" t="str">
        <f t="shared" si="24"/>
        <v/>
      </c>
      <c r="G58" s="33" t="str">
        <f t="shared" si="25"/>
        <v/>
      </c>
      <c r="H58" s="6" t="str">
        <f t="shared" si="6"/>
        <v/>
      </c>
      <c r="I58" s="6" t="str">
        <f t="shared" si="7"/>
        <v/>
      </c>
      <c r="J58" s="11" t="str">
        <f>IF($B$13="", "", (SUM(500*((G58*B58)/(B58-1)+(12*B58)+36))))</f>
        <v/>
      </c>
      <c r="K58" s="10" t="str">
        <f t="shared" si="8"/>
        <v/>
      </c>
      <c r="L58" s="10" t="str">
        <f t="shared" si="9"/>
        <v/>
      </c>
      <c r="M58" s="10" t="str">
        <f t="shared" si="10"/>
        <v/>
      </c>
      <c r="N58" s="10" t="str">
        <f t="shared" si="11"/>
        <v/>
      </c>
      <c r="O58" s="10" t="str">
        <f t="shared" si="12"/>
        <v/>
      </c>
      <c r="P58" s="37" t="str">
        <f>IF(OR(D5="", D6="", D7="", D8="",D9="",D10="", D11="",D12="",D13=""),"",IF(SUM(D5:D13)&lt;=425,90000,MIN(O58,129000)))</f>
        <v/>
      </c>
      <c r="Q58" s="13" t="str">
        <f>IF(G14="", "", (SUM(G5:G14)))</f>
        <v/>
      </c>
      <c r="R58" s="13" t="str">
        <f t="shared" si="13"/>
        <v/>
      </c>
      <c r="S58" s="12" t="str">
        <f t="shared" si="14"/>
        <v/>
      </c>
      <c r="T58" s="12" t="str">
        <f t="shared" si="15"/>
        <v/>
      </c>
      <c r="U58" s="25" t="str">
        <f t="shared" si="22"/>
        <v/>
      </c>
    </row>
    <row r="59" spans="1:21" x14ac:dyDescent="0.2">
      <c r="A59" s="2" t="s">
        <v>25</v>
      </c>
      <c r="B59" s="5" t="str">
        <f>IF($B$6="", "", 2)</f>
        <v/>
      </c>
      <c r="C59" s="5" t="str">
        <f>IF(D6="", "", D6)</f>
        <v/>
      </c>
      <c r="D59" s="5" t="str">
        <f t="shared" si="5"/>
        <v/>
      </c>
      <c r="E59" s="33" t="str">
        <f>IF(D6="", "", (ROUNDDOWN(D59, 0)))</f>
        <v/>
      </c>
      <c r="F59" s="33" t="str">
        <f>IF(D6="","",(MOD(C59,12)))</f>
        <v/>
      </c>
      <c r="G59" s="33" t="str">
        <f>IF(D6="","",(E59+(IF(F59&lt;=5,0,1))))</f>
        <v/>
      </c>
      <c r="H59" s="6" t="str">
        <f t="shared" si="6"/>
        <v/>
      </c>
      <c r="I59" s="6" t="str">
        <f t="shared" si="7"/>
        <v/>
      </c>
      <c r="J59" s="11" t="str">
        <f>IF($B$6="", "", (SUM(500*((G59*B59)/(B59-1)+(12*B59)+36))))</f>
        <v/>
      </c>
      <c r="K59" s="10" t="str">
        <f t="shared" si="8"/>
        <v/>
      </c>
      <c r="L59" s="10" t="str">
        <f t="shared" si="9"/>
        <v/>
      </c>
      <c r="M59" s="10" t="str">
        <f t="shared" si="10"/>
        <v/>
      </c>
      <c r="N59" s="10" t="str">
        <f t="shared" si="11"/>
        <v/>
      </c>
      <c r="O59" s="10" t="str">
        <f t="shared" si="12"/>
        <v/>
      </c>
      <c r="P59" s="37" t="str">
        <f>IF(D6="","",IF(D6&lt;=96,34000,IF(D6&gt;=114,(B59*20000),MIN(O59,129000))))</f>
        <v/>
      </c>
      <c r="Q59" s="13" t="str">
        <f>IF(G7="", "", (SUM(G6:G7)))</f>
        <v/>
      </c>
      <c r="R59" s="13" t="str">
        <f t="shared" si="13"/>
        <v/>
      </c>
      <c r="S59" s="12" t="str">
        <f t="shared" si="14"/>
        <v/>
      </c>
      <c r="T59" s="12" t="str">
        <f t="shared" si="15"/>
        <v/>
      </c>
      <c r="U59" s="25" t="str">
        <f t="shared" si="22"/>
        <v/>
      </c>
    </row>
    <row r="60" spans="1:21" x14ac:dyDescent="0.2">
      <c r="A60" s="2" t="s">
        <v>61</v>
      </c>
      <c r="B60" s="5" t="str">
        <f>IF($B$7="", "", 3)</f>
        <v/>
      </c>
      <c r="C60" s="5" t="str">
        <f>IF(D7="", "", D6+D7)</f>
        <v/>
      </c>
      <c r="D60" s="5" t="str">
        <f t="shared" si="5"/>
        <v/>
      </c>
      <c r="E60" s="33" t="str">
        <f t="shared" ref="E60:E66" si="26">IF(D7="", "", (ROUNDDOWN(D60, 0)))</f>
        <v/>
      </c>
      <c r="F60" s="33" t="str">
        <f t="shared" ref="F60:F66" si="27">IF(D7="","",(MOD(C60,12)))</f>
        <v/>
      </c>
      <c r="G60" s="33" t="str">
        <f t="shared" ref="G60:G66" si="28">IF(D7="","",(E60+(IF(F60&lt;=5,0,1))))</f>
        <v/>
      </c>
      <c r="H60" s="6" t="str">
        <f t="shared" si="6"/>
        <v/>
      </c>
      <c r="I60" s="6" t="str">
        <f t="shared" si="7"/>
        <v/>
      </c>
      <c r="J60" s="11" t="str">
        <f>IF($B$7="", "", (SUM(500*((G60*B60)/(B60-1)+(12*B60)+36))))</f>
        <v/>
      </c>
      <c r="K60" s="10" t="str">
        <f t="shared" si="8"/>
        <v/>
      </c>
      <c r="L60" s="10" t="str">
        <f t="shared" si="9"/>
        <v/>
      </c>
      <c r="M60" s="10" t="str">
        <f t="shared" si="10"/>
        <v/>
      </c>
      <c r="N60" s="10" t="str">
        <f t="shared" si="11"/>
        <v/>
      </c>
      <c r="O60" s="10" t="str">
        <f t="shared" si="12"/>
        <v/>
      </c>
      <c r="P60" s="37" t="str">
        <f>IF(OR(D6="", D7=""),"",IF(SUM(D6:D7)&lt;=96,34000,IF(SUM(D6:D7)&gt;=384,(B60*20000),MIN(O60,129000))))</f>
        <v/>
      </c>
      <c r="Q60" s="13" t="str">
        <f>IF(G8="", "", (SUM(G6:G8)))</f>
        <v/>
      </c>
      <c r="R60" s="13" t="str">
        <f t="shared" si="13"/>
        <v/>
      </c>
      <c r="S60" s="12" t="str">
        <f t="shared" si="14"/>
        <v/>
      </c>
      <c r="T60" s="12" t="str">
        <f t="shared" si="15"/>
        <v/>
      </c>
      <c r="U60" s="25" t="str">
        <f t="shared" si="22"/>
        <v/>
      </c>
    </row>
    <row r="61" spans="1:21" ht="12.75" customHeight="1" x14ac:dyDescent="0.2">
      <c r="A61" s="2" t="s">
        <v>62</v>
      </c>
      <c r="B61" s="5" t="str">
        <f>IF($B$8="", "", 4)</f>
        <v/>
      </c>
      <c r="C61" s="5" t="str">
        <f>IF(D8="", "", D6+D7+D8)</f>
        <v/>
      </c>
      <c r="D61" s="5" t="str">
        <f t="shared" si="5"/>
        <v/>
      </c>
      <c r="E61" s="33" t="str">
        <f t="shared" si="26"/>
        <v/>
      </c>
      <c r="F61" s="33" t="str">
        <f t="shared" si="27"/>
        <v/>
      </c>
      <c r="G61" s="33" t="str">
        <f t="shared" si="28"/>
        <v/>
      </c>
      <c r="H61" s="6" t="str">
        <f t="shared" si="6"/>
        <v/>
      </c>
      <c r="I61" s="6" t="str">
        <f t="shared" si="7"/>
        <v/>
      </c>
      <c r="J61" s="11" t="str">
        <f>IF($B$8="", "", (SUM(500*((G61*B61)/(B61-1)+(12*B61)+36))))</f>
        <v/>
      </c>
      <c r="K61" s="10" t="str">
        <f t="shared" si="8"/>
        <v/>
      </c>
      <c r="L61" s="10" t="str">
        <f t="shared" si="9"/>
        <v/>
      </c>
      <c r="M61" s="10" t="str">
        <f t="shared" si="10"/>
        <v/>
      </c>
      <c r="N61" s="10" t="str">
        <f t="shared" si="11"/>
        <v/>
      </c>
      <c r="O61" s="10" t="str">
        <f t="shared" si="12"/>
        <v/>
      </c>
      <c r="P61" s="37" t="str">
        <f>IF(OR(D6="", D7="", D8=""),"",IF(SUM(D6:D8)&lt;=137,44000,IF(SUM(D6:D8)&gt;=684,(B61*20000),MIN(O61,129000))))</f>
        <v/>
      </c>
      <c r="Q61" s="13" t="str">
        <f>IF(G9="", "", (SUM(G6:G9)))</f>
        <v/>
      </c>
      <c r="R61" s="13" t="str">
        <f t="shared" si="13"/>
        <v/>
      </c>
      <c r="S61" s="12" t="str">
        <f t="shared" si="14"/>
        <v/>
      </c>
      <c r="T61" s="12" t="str">
        <f t="shared" si="15"/>
        <v/>
      </c>
      <c r="U61" s="25" t="str">
        <f t="shared" si="22"/>
        <v/>
      </c>
    </row>
    <row r="62" spans="1:21" ht="12.75" customHeight="1" x14ac:dyDescent="0.2">
      <c r="A62" s="2" t="s">
        <v>63</v>
      </c>
      <c r="B62" s="5" t="str">
        <f>IF($B$9="", "", 5)</f>
        <v/>
      </c>
      <c r="C62" s="5" t="str">
        <f>IF(D9="", "", D6+D7+D8+D9)</f>
        <v/>
      </c>
      <c r="D62" s="5" t="str">
        <f t="shared" si="5"/>
        <v/>
      </c>
      <c r="E62" s="33" t="str">
        <f t="shared" si="26"/>
        <v/>
      </c>
      <c r="F62" s="33" t="str">
        <f t="shared" si="27"/>
        <v/>
      </c>
      <c r="G62" s="33" t="str">
        <f t="shared" si="28"/>
        <v/>
      </c>
      <c r="H62" s="6" t="str">
        <f t="shared" si="6"/>
        <v/>
      </c>
      <c r="I62" s="6" t="str">
        <f t="shared" si="7"/>
        <v/>
      </c>
      <c r="J62" s="11" t="str">
        <f>IF($B$9="", "", (SUM(500*((G62*B62)/(B62-1)+(12*B62)+36))))</f>
        <v/>
      </c>
      <c r="K62" s="10" t="str">
        <f t="shared" si="8"/>
        <v/>
      </c>
      <c r="L62" s="10" t="str">
        <f t="shared" si="9"/>
        <v/>
      </c>
      <c r="M62" s="10" t="str">
        <f t="shared" si="10"/>
        <v/>
      </c>
      <c r="N62" s="10" t="str">
        <f t="shared" si="11"/>
        <v/>
      </c>
      <c r="O62" s="10" t="str">
        <f t="shared" si="12"/>
        <v/>
      </c>
      <c r="P62" s="37" t="str">
        <f>IF(OR(D6="", D7="", D8="", D9=""),"",IF(SUM(D6:D9)&lt;=185,52000,IF(SUM(D6:D9)&gt;=996,(B62*20000),MIN(O62,129000))))</f>
        <v/>
      </c>
      <c r="Q62" s="13" t="str">
        <f>IF(G10="", "", (SUM(G6:G10)))</f>
        <v/>
      </c>
      <c r="R62" s="13" t="str">
        <f t="shared" si="13"/>
        <v/>
      </c>
      <c r="S62" s="12" t="str">
        <f t="shared" si="14"/>
        <v/>
      </c>
      <c r="T62" s="12" t="str">
        <f t="shared" si="15"/>
        <v/>
      </c>
      <c r="U62" s="25" t="str">
        <f t="shared" si="22"/>
        <v/>
      </c>
    </row>
    <row r="63" spans="1:21" ht="12.75" customHeight="1" x14ac:dyDescent="0.2">
      <c r="A63" s="2" t="s">
        <v>64</v>
      </c>
      <c r="B63" s="5" t="str">
        <f>IF($B$10="", "", 6)</f>
        <v/>
      </c>
      <c r="C63" s="5" t="str">
        <f>IF(D10="", "", D6+D7+D8+D9+D10)</f>
        <v/>
      </c>
      <c r="D63" s="5" t="str">
        <f t="shared" si="5"/>
        <v/>
      </c>
      <c r="E63" s="33" t="str">
        <f t="shared" si="26"/>
        <v/>
      </c>
      <c r="F63" s="33" t="str">
        <f t="shared" si="27"/>
        <v/>
      </c>
      <c r="G63" s="33" t="str">
        <f t="shared" si="28"/>
        <v/>
      </c>
      <c r="H63" s="6" t="str">
        <f t="shared" si="6"/>
        <v/>
      </c>
      <c r="I63" s="6" t="str">
        <f t="shared" si="7"/>
        <v/>
      </c>
      <c r="J63" s="11" t="str">
        <f>IF($B$10="", "", (SUM(500*((G63*B63)/(B63-1)+(12*B63)+36))))</f>
        <v/>
      </c>
      <c r="K63" s="10" t="str">
        <f t="shared" si="8"/>
        <v/>
      </c>
      <c r="L63" s="10" t="str">
        <f t="shared" si="9"/>
        <v/>
      </c>
      <c r="M63" s="10" t="str">
        <f t="shared" si="10"/>
        <v/>
      </c>
      <c r="N63" s="10" t="str">
        <f t="shared" si="11"/>
        <v/>
      </c>
      <c r="O63" s="10" t="str">
        <f t="shared" si="12"/>
        <v/>
      </c>
      <c r="P63" s="37" t="str">
        <f>IF(OR(D6="", D7="", D8="", D9="",D10=""),"",IF(SUM(D6:D10)&lt;=233,60000,IF(SUM(D6:D10)&gt;=1320,(B63*20000),MIN(O63,129000))))</f>
        <v/>
      </c>
      <c r="Q63" s="13" t="str">
        <f>IF(G11="", "", (SUM(G6:G11)))</f>
        <v/>
      </c>
      <c r="R63" s="13" t="str">
        <f t="shared" si="13"/>
        <v/>
      </c>
      <c r="S63" s="12" t="str">
        <f t="shared" si="14"/>
        <v/>
      </c>
      <c r="T63" s="12" t="str">
        <f t="shared" si="15"/>
        <v/>
      </c>
      <c r="U63" s="25" t="str">
        <f t="shared" si="22"/>
        <v/>
      </c>
    </row>
    <row r="64" spans="1:21" ht="12.75" customHeight="1" x14ac:dyDescent="0.2">
      <c r="A64" s="2" t="s">
        <v>65</v>
      </c>
      <c r="B64" s="5" t="str">
        <f>IF($B$11="", "", 7)</f>
        <v/>
      </c>
      <c r="C64" s="5" t="str">
        <f>IF(D11="", "", D6+D7+D8+D9+D10+D11)</f>
        <v/>
      </c>
      <c r="D64" s="5" t="str">
        <f t="shared" si="5"/>
        <v/>
      </c>
      <c r="E64" s="33" t="str">
        <f t="shared" si="26"/>
        <v/>
      </c>
      <c r="F64" s="33" t="str">
        <f t="shared" si="27"/>
        <v/>
      </c>
      <c r="G64" s="33" t="str">
        <f t="shared" si="28"/>
        <v/>
      </c>
      <c r="H64" s="6" t="str">
        <f t="shared" si="6"/>
        <v/>
      </c>
      <c r="I64" s="6" t="str">
        <f t="shared" si="7"/>
        <v/>
      </c>
      <c r="J64" s="11" t="str">
        <f>IF($B$11="", "", (SUM(500*((G64*B64)/(B64-1)+(12*B64)+36))))</f>
        <v/>
      </c>
      <c r="K64" s="10" t="str">
        <f t="shared" si="8"/>
        <v/>
      </c>
      <c r="L64" s="10" t="str">
        <f t="shared" si="9"/>
        <v/>
      </c>
      <c r="M64" s="10" t="str">
        <f t="shared" si="10"/>
        <v/>
      </c>
      <c r="N64" s="10" t="str">
        <f t="shared" si="11"/>
        <v/>
      </c>
      <c r="O64" s="10" t="str">
        <f t="shared" si="12"/>
        <v/>
      </c>
      <c r="P64" s="37" t="str">
        <f>IF(OR(D6="", D7="", D8="", D9="",D10="",D11=""),"",IF(SUM(D6:D11)&lt;=281,68000,MIN(O64,129000)))</f>
        <v/>
      </c>
      <c r="Q64" s="13" t="str">
        <f>IF(G12="", "", (SUM(G6:G12)))</f>
        <v/>
      </c>
      <c r="R64" s="13" t="str">
        <f t="shared" si="13"/>
        <v/>
      </c>
      <c r="S64" s="12" t="str">
        <f t="shared" si="14"/>
        <v/>
      </c>
      <c r="T64" s="12" t="str">
        <f t="shared" si="15"/>
        <v/>
      </c>
      <c r="U64" s="25" t="str">
        <f t="shared" si="22"/>
        <v/>
      </c>
    </row>
    <row r="65" spans="1:21" ht="12.75" customHeight="1" x14ac:dyDescent="0.2">
      <c r="A65" s="2" t="s">
        <v>66</v>
      </c>
      <c r="B65" s="5" t="str">
        <f>IF($B$12="", "", 8)</f>
        <v/>
      </c>
      <c r="C65" s="5" t="str">
        <f>IF(D12="", "", D6+D7+D8+D9+D10+D11+D12)</f>
        <v/>
      </c>
      <c r="D65" s="5" t="str">
        <f t="shared" si="5"/>
        <v/>
      </c>
      <c r="E65" s="33" t="str">
        <f t="shared" si="26"/>
        <v/>
      </c>
      <c r="F65" s="33" t="str">
        <f t="shared" si="27"/>
        <v/>
      </c>
      <c r="G65" s="33" t="str">
        <f t="shared" si="28"/>
        <v/>
      </c>
      <c r="H65" s="6" t="str">
        <f t="shared" si="6"/>
        <v/>
      </c>
      <c r="I65" s="6" t="str">
        <f t="shared" si="7"/>
        <v/>
      </c>
      <c r="J65" s="11" t="str">
        <f>IF($B$12="", "", (SUM(500*((G65*B65)/(B65-1)+(12*B65)+36))))</f>
        <v/>
      </c>
      <c r="K65" s="10" t="str">
        <f t="shared" si="8"/>
        <v/>
      </c>
      <c r="L65" s="10" t="str">
        <f t="shared" si="9"/>
        <v/>
      </c>
      <c r="M65" s="10" t="str">
        <f t="shared" si="10"/>
        <v/>
      </c>
      <c r="N65" s="10" t="str">
        <f t="shared" si="11"/>
        <v/>
      </c>
      <c r="O65" s="10" t="str">
        <f t="shared" si="12"/>
        <v/>
      </c>
      <c r="P65" s="37" t="str">
        <f>IF(OR(D6="", D7="", D8="", D9="",D10="",D11="", D12=""),"",IF(SUM(D6:D12)&lt;=329,75500,MIN(O65,129000)))</f>
        <v/>
      </c>
      <c r="Q65" s="13" t="str">
        <f>IF(G13="", "", (SUM(G6:G13)))</f>
        <v/>
      </c>
      <c r="R65" s="13" t="str">
        <f t="shared" si="13"/>
        <v/>
      </c>
      <c r="S65" s="12" t="str">
        <f t="shared" si="14"/>
        <v/>
      </c>
      <c r="T65" s="12" t="str">
        <f t="shared" si="15"/>
        <v/>
      </c>
      <c r="U65" s="25" t="str">
        <f t="shared" si="22"/>
        <v/>
      </c>
    </row>
    <row r="66" spans="1:21" ht="12.75" customHeight="1" x14ac:dyDescent="0.2">
      <c r="A66" s="2" t="s">
        <v>67</v>
      </c>
      <c r="B66" s="5" t="str">
        <f>IF($B$13="", "", 9)</f>
        <v/>
      </c>
      <c r="C66" s="5" t="str">
        <f>IF(D13="", "", D6+D7+D8+D9+D10+D11+D12+D13)</f>
        <v/>
      </c>
      <c r="D66" s="5" t="str">
        <f t="shared" si="5"/>
        <v/>
      </c>
      <c r="E66" s="33" t="str">
        <f t="shared" si="26"/>
        <v/>
      </c>
      <c r="F66" s="33" t="str">
        <f t="shared" si="27"/>
        <v/>
      </c>
      <c r="G66" s="33" t="str">
        <f t="shared" si="28"/>
        <v/>
      </c>
      <c r="H66" s="6" t="str">
        <f t="shared" si="6"/>
        <v/>
      </c>
      <c r="I66" s="6" t="str">
        <f t="shared" si="7"/>
        <v/>
      </c>
      <c r="J66" s="11" t="str">
        <f>IF($B$13="", "", (SUM(500*((G66*B66)/(B66-1)+(12*B66)+36))))</f>
        <v/>
      </c>
      <c r="K66" s="10" t="str">
        <f t="shared" si="8"/>
        <v/>
      </c>
      <c r="L66" s="10" t="str">
        <f t="shared" si="9"/>
        <v/>
      </c>
      <c r="M66" s="10" t="str">
        <f t="shared" si="10"/>
        <v/>
      </c>
      <c r="N66" s="10" t="str">
        <f t="shared" si="11"/>
        <v/>
      </c>
      <c r="O66" s="10" t="str">
        <f t="shared" si="12"/>
        <v/>
      </c>
      <c r="P66" s="37" t="str">
        <f>IF(OR(D6="", D7="", D8="", D9="",D10="",D11="", D12="",D13=""),"",IF(SUM(D6:D13)&lt;=377,83500,MIN(O66,129000)))</f>
        <v/>
      </c>
      <c r="Q66" s="13" t="str">
        <f>IF(G14="", "", (SUM(G6:G14)))</f>
        <v/>
      </c>
      <c r="R66" s="13" t="str">
        <f t="shared" si="13"/>
        <v/>
      </c>
      <c r="S66" s="12" t="str">
        <f t="shared" si="14"/>
        <v/>
      </c>
      <c r="T66" s="12" t="str">
        <f t="shared" si="15"/>
        <v/>
      </c>
      <c r="U66" s="25" t="str">
        <f t="shared" si="22"/>
        <v/>
      </c>
    </row>
    <row r="67" spans="1:21" x14ac:dyDescent="0.2">
      <c r="A67" s="2" t="s">
        <v>26</v>
      </c>
      <c r="B67" s="5" t="str">
        <f>IF($B$7="", "", 2)</f>
        <v/>
      </c>
      <c r="C67" s="5" t="str">
        <f>IF(D7="", "", D7)</f>
        <v/>
      </c>
      <c r="D67" s="5" t="str">
        <f t="shared" si="5"/>
        <v/>
      </c>
      <c r="E67" s="33" t="str">
        <f>IF(D7="", "", (ROUNDDOWN(D67, 0)))</f>
        <v/>
      </c>
      <c r="F67" s="33" t="str">
        <f>IF(D7="","",(MOD(C67,12)))</f>
        <v/>
      </c>
      <c r="G67" s="33" t="str">
        <f>IF(D7="","",(E67+(IF(F67&lt;=5,0,1))))</f>
        <v/>
      </c>
      <c r="H67" s="6" t="str">
        <f t="shared" si="6"/>
        <v/>
      </c>
      <c r="I67" s="6" t="str">
        <f t="shared" si="7"/>
        <v/>
      </c>
      <c r="J67" s="11" t="str">
        <f>IF($B$7="", "", (SUM(500*((G67*B67)/(B67-1)+(12*B67)+36))))</f>
        <v/>
      </c>
      <c r="K67" s="10" t="str">
        <f t="shared" si="8"/>
        <v/>
      </c>
      <c r="L67" s="10" t="str">
        <f t="shared" si="9"/>
        <v/>
      </c>
      <c r="M67" s="10" t="str">
        <f t="shared" si="10"/>
        <v/>
      </c>
      <c r="N67" s="10" t="str">
        <f t="shared" si="11"/>
        <v/>
      </c>
      <c r="O67" s="10" t="str">
        <f t="shared" si="12"/>
        <v/>
      </c>
      <c r="P67" s="37" t="str">
        <f>IF(D7="","",IF(D7&lt;=96,34000,IF(D7&gt;=114,(B67*20000),MIN(O67,129000))))</f>
        <v/>
      </c>
      <c r="Q67" s="13" t="str">
        <f>IF(G8="", "", (SUM(G7:G8)))</f>
        <v/>
      </c>
      <c r="R67" s="13" t="str">
        <f t="shared" si="13"/>
        <v/>
      </c>
      <c r="S67" s="12" t="str">
        <f t="shared" si="14"/>
        <v/>
      </c>
      <c r="T67" s="12" t="str">
        <f t="shared" si="15"/>
        <v/>
      </c>
      <c r="U67" s="25" t="str">
        <f t="shared" si="22"/>
        <v/>
      </c>
    </row>
    <row r="68" spans="1:21" ht="12.75" customHeight="1" x14ac:dyDescent="0.2">
      <c r="A68" s="2" t="s">
        <v>68</v>
      </c>
      <c r="B68" s="5" t="str">
        <f>IF($B$8="", "", 3)</f>
        <v/>
      </c>
      <c r="C68" s="5" t="str">
        <f>IF(D8="", "", D7+D8)</f>
        <v/>
      </c>
      <c r="D68" s="5" t="str">
        <f t="shared" si="5"/>
        <v/>
      </c>
      <c r="E68" s="33" t="str">
        <f t="shared" ref="E68:E73" si="29">IF(D8="", "", (ROUNDDOWN(D68, 0)))</f>
        <v/>
      </c>
      <c r="F68" s="33" t="str">
        <f t="shared" ref="F68:F73" si="30">IF(D8="","",(MOD(C68,12)))</f>
        <v/>
      </c>
      <c r="G68" s="33" t="str">
        <f t="shared" ref="G68:G73" si="31">IF(D8="","",(E68+(IF(F68&lt;=5,0,1))))</f>
        <v/>
      </c>
      <c r="H68" s="6" t="str">
        <f t="shared" si="6"/>
        <v/>
      </c>
      <c r="I68" s="6" t="str">
        <f t="shared" si="7"/>
        <v/>
      </c>
      <c r="J68" s="11" t="str">
        <f>IF($B$8="", "", (SUM(500*((G68*B68)/(B68-1)+(12*B68)+36))))</f>
        <v/>
      </c>
      <c r="K68" s="10" t="str">
        <f t="shared" si="8"/>
        <v/>
      </c>
      <c r="L68" s="10" t="str">
        <f t="shared" si="9"/>
        <v/>
      </c>
      <c r="M68" s="10" t="str">
        <f t="shared" si="10"/>
        <v/>
      </c>
      <c r="N68" s="10" t="str">
        <f t="shared" si="11"/>
        <v/>
      </c>
      <c r="O68" s="10" t="str">
        <f t="shared" si="12"/>
        <v/>
      </c>
      <c r="P68" s="37" t="str">
        <f>IF(OR(D7="", D8=""),"",IF(SUM(D7:D8)&lt;=96,34000,IF(SUM(D7:D8)&gt;=384,(B68*20000),MIN(O68,129000))))</f>
        <v/>
      </c>
      <c r="Q68" s="13" t="str">
        <f>IF(G9="", "", (SUM(G7:G9)))</f>
        <v/>
      </c>
      <c r="R68" s="13" t="str">
        <f t="shared" si="13"/>
        <v/>
      </c>
      <c r="S68" s="12" t="str">
        <f t="shared" si="14"/>
        <v/>
      </c>
      <c r="T68" s="12" t="str">
        <f t="shared" si="15"/>
        <v/>
      </c>
      <c r="U68" s="25" t="str">
        <f t="shared" si="22"/>
        <v/>
      </c>
    </row>
    <row r="69" spans="1:21" ht="12.75" customHeight="1" x14ac:dyDescent="0.2">
      <c r="A69" s="2" t="s">
        <v>69</v>
      </c>
      <c r="B69" s="5" t="str">
        <f>IF($B$9="", "", 4)</f>
        <v/>
      </c>
      <c r="C69" s="5" t="str">
        <f>IF(D9="", "", D7+D8+D9)</f>
        <v/>
      </c>
      <c r="D69" s="5" t="str">
        <f t="shared" si="5"/>
        <v/>
      </c>
      <c r="E69" s="33" t="str">
        <f t="shared" si="29"/>
        <v/>
      </c>
      <c r="F69" s="33" t="str">
        <f t="shared" si="30"/>
        <v/>
      </c>
      <c r="G69" s="33" t="str">
        <f t="shared" si="31"/>
        <v/>
      </c>
      <c r="H69" s="6" t="str">
        <f t="shared" si="6"/>
        <v/>
      </c>
      <c r="I69" s="6" t="str">
        <f t="shared" si="7"/>
        <v/>
      </c>
      <c r="J69" s="11" t="str">
        <f>IF($B$9="", "", (SUM(500*((G69*B69)/(B69-1)+(12*B69)+36))))</f>
        <v/>
      </c>
      <c r="K69" s="10" t="str">
        <f t="shared" si="8"/>
        <v/>
      </c>
      <c r="L69" s="10" t="str">
        <f t="shared" si="9"/>
        <v/>
      </c>
      <c r="M69" s="10" t="str">
        <f t="shared" si="10"/>
        <v/>
      </c>
      <c r="N69" s="10" t="str">
        <f t="shared" si="11"/>
        <v/>
      </c>
      <c r="O69" s="10" t="str">
        <f t="shared" si="12"/>
        <v/>
      </c>
      <c r="P69" s="37" t="str">
        <f>IF(OR(D7="", D8="", D9=""),"",IF(SUM(D7:D9)&lt;=137,44000,IF(SUM(D7:D9)&gt;=684,(B69*20000),MIN(O69,129000))))</f>
        <v/>
      </c>
      <c r="Q69" s="13" t="str">
        <f>IF(G10="", "", (SUM(G7:G10)))</f>
        <v/>
      </c>
      <c r="R69" s="13" t="str">
        <f t="shared" si="13"/>
        <v/>
      </c>
      <c r="S69" s="12" t="str">
        <f t="shared" si="14"/>
        <v/>
      </c>
      <c r="T69" s="12" t="str">
        <f t="shared" si="15"/>
        <v/>
      </c>
      <c r="U69" s="25" t="str">
        <f t="shared" si="22"/>
        <v/>
      </c>
    </row>
    <row r="70" spans="1:21" ht="12.75" customHeight="1" x14ac:dyDescent="0.2">
      <c r="A70" s="2" t="s">
        <v>70</v>
      </c>
      <c r="B70" s="5" t="str">
        <f>IF($B$10="", "", 5)</f>
        <v/>
      </c>
      <c r="C70" s="5" t="str">
        <f>IF(D10="", "", D7+D8+D9+D10)</f>
        <v/>
      </c>
      <c r="D70" s="5" t="str">
        <f t="shared" si="5"/>
        <v/>
      </c>
      <c r="E70" s="33" t="str">
        <f t="shared" si="29"/>
        <v/>
      </c>
      <c r="F70" s="33" t="str">
        <f t="shared" si="30"/>
        <v/>
      </c>
      <c r="G70" s="33" t="str">
        <f t="shared" si="31"/>
        <v/>
      </c>
      <c r="H70" s="6" t="str">
        <f t="shared" si="6"/>
        <v/>
      </c>
      <c r="I70" s="6" t="str">
        <f t="shared" si="7"/>
        <v/>
      </c>
      <c r="J70" s="11" t="str">
        <f>IF($B$10="", "", (SUM(500*((G70*B70)/(B70-1)+(12*B70)+36))))</f>
        <v/>
      </c>
      <c r="K70" s="10" t="str">
        <f t="shared" si="8"/>
        <v/>
      </c>
      <c r="L70" s="10" t="str">
        <f t="shared" si="9"/>
        <v/>
      </c>
      <c r="M70" s="10" t="str">
        <f t="shared" si="10"/>
        <v/>
      </c>
      <c r="N70" s="10" t="str">
        <f t="shared" si="11"/>
        <v/>
      </c>
      <c r="O70" s="10" t="str">
        <f t="shared" si="12"/>
        <v/>
      </c>
      <c r="P70" s="37" t="str">
        <f>IF(OR(D7="", D8="", D9="", D10=""),"",IF(SUM(D7:D10)&lt;=185,52000,IF(SUM(D7:D10)&gt;=996,(B70*20000),MIN(O70,129000))))</f>
        <v/>
      </c>
      <c r="Q70" s="13" t="str">
        <f>IF(G11="", "", (SUM(G7:G11)))</f>
        <v/>
      </c>
      <c r="R70" s="13" t="str">
        <f t="shared" si="13"/>
        <v/>
      </c>
      <c r="S70" s="12" t="str">
        <f t="shared" si="14"/>
        <v/>
      </c>
      <c r="T70" s="12" t="str">
        <f t="shared" si="15"/>
        <v/>
      </c>
      <c r="U70" s="25" t="str">
        <f t="shared" si="22"/>
        <v/>
      </c>
    </row>
    <row r="71" spans="1:21" ht="12.75" customHeight="1" x14ac:dyDescent="0.2">
      <c r="A71" s="2" t="s">
        <v>71</v>
      </c>
      <c r="B71" s="5" t="str">
        <f>IF($B$11="", "", 6)</f>
        <v/>
      </c>
      <c r="C71" s="5" t="str">
        <f>IF(D11="", "", D7+D8+D9+D10+D11)</f>
        <v/>
      </c>
      <c r="D71" s="5" t="str">
        <f t="shared" si="5"/>
        <v/>
      </c>
      <c r="E71" s="33" t="str">
        <f t="shared" si="29"/>
        <v/>
      </c>
      <c r="F71" s="33" t="str">
        <f t="shared" si="30"/>
        <v/>
      </c>
      <c r="G71" s="33" t="str">
        <f t="shared" si="31"/>
        <v/>
      </c>
      <c r="H71" s="6" t="str">
        <f t="shared" si="6"/>
        <v/>
      </c>
      <c r="I71" s="6" t="str">
        <f t="shared" si="7"/>
        <v/>
      </c>
      <c r="J71" s="11" t="str">
        <f>IF($B$11="", "", (SUM(500*((G71*B71)/(B71-1)+(12*B71)+36))))</f>
        <v/>
      </c>
      <c r="K71" s="10" t="str">
        <f t="shared" si="8"/>
        <v/>
      </c>
      <c r="L71" s="10" t="str">
        <f t="shared" si="9"/>
        <v/>
      </c>
      <c r="M71" s="10" t="str">
        <f t="shared" si="10"/>
        <v/>
      </c>
      <c r="N71" s="10" t="str">
        <f t="shared" si="11"/>
        <v/>
      </c>
      <c r="O71" s="10" t="str">
        <f t="shared" si="12"/>
        <v/>
      </c>
      <c r="P71" s="37" t="str">
        <f>IF(OR(D7="", D8="", D9="", D10="",D11=""),"",IF(SUM(D7:D11)&lt;=233,60000,IF(SUM(D7:D11)&gt;=1320,(B71*20000),MIN(O71,129000))))</f>
        <v/>
      </c>
      <c r="Q71" s="13" t="str">
        <f>IF(G12="", "", (SUM(G7:G12)))</f>
        <v/>
      </c>
      <c r="R71" s="13" t="str">
        <f t="shared" si="13"/>
        <v/>
      </c>
      <c r="S71" s="12" t="str">
        <f t="shared" si="14"/>
        <v/>
      </c>
      <c r="T71" s="12" t="str">
        <f t="shared" si="15"/>
        <v/>
      </c>
      <c r="U71" s="25" t="str">
        <f t="shared" si="22"/>
        <v/>
      </c>
    </row>
    <row r="72" spans="1:21" ht="12.75" customHeight="1" x14ac:dyDescent="0.2">
      <c r="A72" s="2" t="s">
        <v>72</v>
      </c>
      <c r="B72" s="5" t="str">
        <f>IF($B$12="", "", 7)</f>
        <v/>
      </c>
      <c r="C72" s="5" t="str">
        <f>IF(D12="", "", D7+D8+D9+D10+D11+D12)</f>
        <v/>
      </c>
      <c r="D72" s="5" t="str">
        <f t="shared" si="5"/>
        <v/>
      </c>
      <c r="E72" s="33" t="str">
        <f t="shared" si="29"/>
        <v/>
      </c>
      <c r="F72" s="33" t="str">
        <f t="shared" si="30"/>
        <v/>
      </c>
      <c r="G72" s="33" t="str">
        <f t="shared" si="31"/>
        <v/>
      </c>
      <c r="H72" s="6" t="str">
        <f t="shared" si="6"/>
        <v/>
      </c>
      <c r="I72" s="6" t="str">
        <f t="shared" si="7"/>
        <v/>
      </c>
      <c r="J72" s="11" t="str">
        <f>IF($B$12="", "", (SUM(500*((G72*B72)/(B72-1)+(12*B72)+36))))</f>
        <v/>
      </c>
      <c r="K72" s="10" t="str">
        <f t="shared" si="8"/>
        <v/>
      </c>
      <c r="L72" s="10" t="str">
        <f t="shared" si="9"/>
        <v/>
      </c>
      <c r="M72" s="10" t="str">
        <f t="shared" si="10"/>
        <v/>
      </c>
      <c r="N72" s="10" t="str">
        <f t="shared" si="11"/>
        <v/>
      </c>
      <c r="O72" s="10" t="str">
        <f t="shared" si="12"/>
        <v/>
      </c>
      <c r="P72" s="37" t="str">
        <f>IF(OR(D7="", D8="", D9="", D10="",D11="",D12=""),"",IF(SUM(D7:D12)&lt;=281,68000,MIN(O72,129000)))</f>
        <v/>
      </c>
      <c r="Q72" s="13" t="str">
        <f>IF(G13="", "", (SUM(G7:G13)))</f>
        <v/>
      </c>
      <c r="R72" s="13" t="str">
        <f t="shared" si="13"/>
        <v/>
      </c>
      <c r="S72" s="12" t="str">
        <f t="shared" si="14"/>
        <v/>
      </c>
      <c r="T72" s="12" t="str">
        <f t="shared" si="15"/>
        <v/>
      </c>
      <c r="U72" s="25" t="str">
        <f t="shared" si="22"/>
        <v/>
      </c>
    </row>
    <row r="73" spans="1:21" ht="12.75" customHeight="1" x14ac:dyDescent="0.2">
      <c r="A73" s="2" t="s">
        <v>73</v>
      </c>
      <c r="B73" s="5" t="str">
        <f>IF($B$13="", "", 8)</f>
        <v/>
      </c>
      <c r="C73" s="5" t="str">
        <f>IF(D13="", "", D7+D8+D9+D10+D11+D12+D13)</f>
        <v/>
      </c>
      <c r="D73" s="5" t="str">
        <f t="shared" si="5"/>
        <v/>
      </c>
      <c r="E73" s="33" t="str">
        <f t="shared" si="29"/>
        <v/>
      </c>
      <c r="F73" s="33" t="str">
        <f t="shared" si="30"/>
        <v/>
      </c>
      <c r="G73" s="33" t="str">
        <f t="shared" si="31"/>
        <v/>
      </c>
      <c r="H73" s="6" t="str">
        <f t="shared" si="6"/>
        <v/>
      </c>
      <c r="I73" s="6" t="str">
        <f t="shared" si="7"/>
        <v/>
      </c>
      <c r="J73" s="11" t="str">
        <f>IF($B$13="", "", (SUM(500*((G73*B73)/(B73-1)+(12*B73)+36))))</f>
        <v/>
      </c>
      <c r="K73" s="10" t="str">
        <f t="shared" si="8"/>
        <v/>
      </c>
      <c r="L73" s="10" t="str">
        <f t="shared" si="9"/>
        <v/>
      </c>
      <c r="M73" s="10" t="str">
        <f t="shared" si="10"/>
        <v/>
      </c>
      <c r="N73" s="10" t="str">
        <f t="shared" si="11"/>
        <v/>
      </c>
      <c r="O73" s="10" t="str">
        <f t="shared" si="12"/>
        <v/>
      </c>
      <c r="P73" s="37" t="str">
        <f>IF(OR(D7="", D8="", D9="", D10="",D11="",D12="", D13=""),"",IF(SUM(D7:D13)&lt;=329,75500,MIN(O73,129000)))</f>
        <v/>
      </c>
      <c r="Q73" s="13" t="str">
        <f>IF(G14="", "", (SUM(G7:G14)))</f>
        <v/>
      </c>
      <c r="R73" s="13" t="str">
        <f t="shared" si="13"/>
        <v/>
      </c>
      <c r="S73" s="12" t="str">
        <f t="shared" si="14"/>
        <v/>
      </c>
      <c r="T73" s="12" t="str">
        <f t="shared" si="15"/>
        <v/>
      </c>
      <c r="U73" s="25" t="str">
        <f t="shared" si="22"/>
        <v/>
      </c>
    </row>
    <row r="74" spans="1:21" ht="12.75" customHeight="1" x14ac:dyDescent="0.2">
      <c r="A74" s="2" t="s">
        <v>27</v>
      </c>
      <c r="B74" s="5" t="str">
        <f>IF($B$8="", "", 2)</f>
        <v/>
      </c>
      <c r="C74" s="5" t="str">
        <f>IF(D8="", "", D8)</f>
        <v/>
      </c>
      <c r="D74" s="5" t="str">
        <f t="shared" si="5"/>
        <v/>
      </c>
      <c r="E74" s="33" t="str">
        <f>IF(D8="", "", (ROUNDDOWN(D74, 0)))</f>
        <v/>
      </c>
      <c r="F74" s="33" t="str">
        <f>IF(D8="","",(MOD(C74,12)))</f>
        <v/>
      </c>
      <c r="G74" s="33" t="str">
        <f>IF(D8="","",(E74+(IF(F74&lt;=5,0,1))))</f>
        <v/>
      </c>
      <c r="H74" s="6" t="str">
        <f t="shared" si="6"/>
        <v/>
      </c>
      <c r="I74" s="6" t="str">
        <f t="shared" si="7"/>
        <v/>
      </c>
      <c r="J74" s="11" t="str">
        <f>IF($B$8="", "", (SUM(500*((G74*B74)/(B74-1)+(12*B74)+36))))</f>
        <v/>
      </c>
      <c r="K74" s="10" t="str">
        <f t="shared" si="8"/>
        <v/>
      </c>
      <c r="L74" s="10" t="str">
        <f t="shared" si="9"/>
        <v/>
      </c>
      <c r="M74" s="10" t="str">
        <f t="shared" si="10"/>
        <v/>
      </c>
      <c r="N74" s="10" t="str">
        <f t="shared" si="11"/>
        <v/>
      </c>
      <c r="O74" s="10" t="str">
        <f t="shared" si="12"/>
        <v/>
      </c>
      <c r="P74" s="37" t="str">
        <f>IF(D8="","",IF(D8&lt;=96,34000,IF(D8&gt;=114,(B74*20000),MIN(O74,129000))))</f>
        <v/>
      </c>
      <c r="Q74" s="13" t="str">
        <f>IF(G9="", "", (SUM(G8:G9)))</f>
        <v/>
      </c>
      <c r="R74" s="13" t="str">
        <f t="shared" si="13"/>
        <v/>
      </c>
      <c r="S74" s="12" t="str">
        <f t="shared" si="14"/>
        <v/>
      </c>
      <c r="T74" s="12" t="str">
        <f t="shared" si="15"/>
        <v/>
      </c>
      <c r="U74" s="25" t="str">
        <f t="shared" si="22"/>
        <v/>
      </c>
    </row>
    <row r="75" spans="1:21" ht="12.75" customHeight="1" x14ac:dyDescent="0.2">
      <c r="A75" s="2" t="s">
        <v>74</v>
      </c>
      <c r="B75" s="5" t="str">
        <f>IF($B$9="", "", 3)</f>
        <v/>
      </c>
      <c r="C75" s="5" t="str">
        <f>IF(D9="", "", D8+D9)</f>
        <v/>
      </c>
      <c r="D75" s="5" t="str">
        <f t="shared" si="5"/>
        <v/>
      </c>
      <c r="E75" s="33" t="str">
        <f t="shared" ref="E75:E79" si="32">IF(D9="", "", (ROUNDDOWN(D75, 0)))</f>
        <v/>
      </c>
      <c r="F75" s="33" t="str">
        <f t="shared" ref="F75:F79" si="33">IF(D9="","",(MOD(C75,12)))</f>
        <v/>
      </c>
      <c r="G75" s="33" t="str">
        <f t="shared" ref="G75:G79" si="34">IF(D9="","",(E75+(IF(F75&lt;=5,0,1))))</f>
        <v/>
      </c>
      <c r="H75" s="6" t="str">
        <f t="shared" si="6"/>
        <v/>
      </c>
      <c r="I75" s="6" t="str">
        <f t="shared" si="7"/>
        <v/>
      </c>
      <c r="J75" s="11" t="str">
        <f>IF($B$9="", "", (SUM(500*((G75*B75)/(B75-1)+(12*B75)+36))))</f>
        <v/>
      </c>
      <c r="K75" s="10" t="str">
        <f t="shared" si="8"/>
        <v/>
      </c>
      <c r="L75" s="10" t="str">
        <f t="shared" si="9"/>
        <v/>
      </c>
      <c r="M75" s="10" t="str">
        <f t="shared" si="10"/>
        <v/>
      </c>
      <c r="N75" s="10" t="str">
        <f t="shared" si="11"/>
        <v/>
      </c>
      <c r="O75" s="10" t="str">
        <f t="shared" si="12"/>
        <v/>
      </c>
      <c r="P75" s="37" t="str">
        <f>IF(OR(D8="", D9=""),"",IF(SUM(D8:D9)&lt;=96,34000,IF(SUM(D8:D9)&gt;=384,(B75*20000),MIN(O75,129000))))</f>
        <v/>
      </c>
      <c r="Q75" s="13" t="str">
        <f>IF(G10="", "", (SUM(G8:G10)))</f>
        <v/>
      </c>
      <c r="R75" s="13" t="str">
        <f t="shared" si="13"/>
        <v/>
      </c>
      <c r="S75" s="12" t="str">
        <f t="shared" si="14"/>
        <v/>
      </c>
      <c r="T75" s="12" t="str">
        <f t="shared" si="15"/>
        <v/>
      </c>
      <c r="U75" s="25" t="str">
        <f t="shared" si="22"/>
        <v/>
      </c>
    </row>
    <row r="76" spans="1:21" ht="12.75" customHeight="1" x14ac:dyDescent="0.2">
      <c r="A76" s="2" t="s">
        <v>75</v>
      </c>
      <c r="B76" s="5" t="str">
        <f>IF($B$10="", "", 4)</f>
        <v/>
      </c>
      <c r="C76" s="5" t="str">
        <f>IF(D10="", "", D8+D9+D10)</f>
        <v/>
      </c>
      <c r="D76" s="5" t="str">
        <f t="shared" si="5"/>
        <v/>
      </c>
      <c r="E76" s="33" t="str">
        <f t="shared" si="32"/>
        <v/>
      </c>
      <c r="F76" s="33" t="str">
        <f t="shared" si="33"/>
        <v/>
      </c>
      <c r="G76" s="33" t="str">
        <f t="shared" si="34"/>
        <v/>
      </c>
      <c r="H76" s="6" t="str">
        <f t="shared" si="6"/>
        <v/>
      </c>
      <c r="I76" s="6" t="str">
        <f t="shared" si="7"/>
        <v/>
      </c>
      <c r="J76" s="11" t="str">
        <f>IF($B$10="", "", (SUM(500*((G76*B76)/(B76-1)+(12*B76)+36))))</f>
        <v/>
      </c>
      <c r="K76" s="10" t="str">
        <f t="shared" si="8"/>
        <v/>
      </c>
      <c r="L76" s="10" t="str">
        <f t="shared" si="9"/>
        <v/>
      </c>
      <c r="M76" s="10" t="str">
        <f t="shared" si="10"/>
        <v/>
      </c>
      <c r="N76" s="10" t="str">
        <f t="shared" si="11"/>
        <v/>
      </c>
      <c r="O76" s="10" t="str">
        <f t="shared" si="12"/>
        <v/>
      </c>
      <c r="P76" s="37" t="str">
        <f>IF(OR(D8="", D9="", D10=""),"",IF(SUM(D8:D10)&lt;=137,44000,IF(SUM(D8:D10)&gt;=684,(B76*20000),MIN(O76,129000))))</f>
        <v/>
      </c>
      <c r="Q76" s="13" t="str">
        <f>IF(G11="", "", (SUM(G8:G11)))</f>
        <v/>
      </c>
      <c r="R76" s="13" t="str">
        <f t="shared" si="13"/>
        <v/>
      </c>
      <c r="S76" s="12" t="str">
        <f t="shared" si="14"/>
        <v/>
      </c>
      <c r="T76" s="12" t="str">
        <f t="shared" si="15"/>
        <v/>
      </c>
      <c r="U76" s="25" t="str">
        <f t="shared" si="22"/>
        <v/>
      </c>
    </row>
    <row r="77" spans="1:21" ht="12.75" customHeight="1" x14ac:dyDescent="0.2">
      <c r="A77" s="2" t="s">
        <v>76</v>
      </c>
      <c r="B77" s="5" t="str">
        <f>IF($B$11="", "", 5)</f>
        <v/>
      </c>
      <c r="C77" s="5" t="str">
        <f>IF(D11="", "", D8+D9+D10+D11)</f>
        <v/>
      </c>
      <c r="D77" s="5" t="str">
        <f t="shared" si="5"/>
        <v/>
      </c>
      <c r="E77" s="33" t="str">
        <f t="shared" si="32"/>
        <v/>
      </c>
      <c r="F77" s="33" t="str">
        <f t="shared" si="33"/>
        <v/>
      </c>
      <c r="G77" s="33" t="str">
        <f t="shared" si="34"/>
        <v/>
      </c>
      <c r="H77" s="6" t="str">
        <f t="shared" si="6"/>
        <v/>
      </c>
      <c r="I77" s="6" t="str">
        <f t="shared" si="7"/>
        <v/>
      </c>
      <c r="J77" s="11" t="str">
        <f>IF($B$11="", "", (SUM(500*((G77*B77)/(B77-1)+(12*B77)+36))))</f>
        <v/>
      </c>
      <c r="K77" s="10" t="str">
        <f t="shared" si="8"/>
        <v/>
      </c>
      <c r="L77" s="10" t="str">
        <f t="shared" si="9"/>
        <v/>
      </c>
      <c r="M77" s="10" t="str">
        <f t="shared" si="10"/>
        <v/>
      </c>
      <c r="N77" s="10" t="str">
        <f t="shared" si="11"/>
        <v/>
      </c>
      <c r="O77" s="10" t="str">
        <f t="shared" si="12"/>
        <v/>
      </c>
      <c r="P77" s="37" t="str">
        <f>IF(OR(D8="", D9="", D10="", D11=""),"",IF(SUM(D8:D11)&lt;=185,52000,IF(SUM(D8:D11)&gt;=996,(B77*20000),MIN(O77,129000))))</f>
        <v/>
      </c>
      <c r="Q77" s="13" t="str">
        <f>IF(G12="", "", (SUM(G8:G12)))</f>
        <v/>
      </c>
      <c r="R77" s="13" t="str">
        <f t="shared" si="13"/>
        <v/>
      </c>
      <c r="S77" s="12" t="str">
        <f t="shared" si="14"/>
        <v/>
      </c>
      <c r="T77" s="12" t="str">
        <f t="shared" si="15"/>
        <v/>
      </c>
      <c r="U77" s="25" t="str">
        <f t="shared" si="22"/>
        <v/>
      </c>
    </row>
    <row r="78" spans="1:21" ht="12.75" customHeight="1" x14ac:dyDescent="0.2">
      <c r="A78" s="2" t="s">
        <v>77</v>
      </c>
      <c r="B78" s="5" t="str">
        <f>IF($B$12="", "", 6)</f>
        <v/>
      </c>
      <c r="C78" s="5" t="str">
        <f>IF(D12="", "", D8+D9+D10+D11+D12)</f>
        <v/>
      </c>
      <c r="D78" s="5" t="str">
        <f t="shared" si="5"/>
        <v/>
      </c>
      <c r="E78" s="33" t="str">
        <f t="shared" si="32"/>
        <v/>
      </c>
      <c r="F78" s="33" t="str">
        <f t="shared" si="33"/>
        <v/>
      </c>
      <c r="G78" s="33" t="str">
        <f t="shared" si="34"/>
        <v/>
      </c>
      <c r="H78" s="6" t="str">
        <f t="shared" si="6"/>
        <v/>
      </c>
      <c r="I78" s="6" t="str">
        <f t="shared" si="7"/>
        <v/>
      </c>
      <c r="J78" s="11" t="str">
        <f>IF($B$12="", "", (SUM(500*((G78*B78)/(B78-1)+(12*B78)+36))))</f>
        <v/>
      </c>
      <c r="K78" s="10" t="str">
        <f t="shared" si="8"/>
        <v/>
      </c>
      <c r="L78" s="10" t="str">
        <f t="shared" si="9"/>
        <v/>
      </c>
      <c r="M78" s="10" t="str">
        <f t="shared" si="10"/>
        <v/>
      </c>
      <c r="N78" s="10" t="str">
        <f t="shared" si="11"/>
        <v/>
      </c>
      <c r="O78" s="10" t="str">
        <f t="shared" si="12"/>
        <v/>
      </c>
      <c r="P78" s="37" t="str">
        <f>IF(OR(D8="", D9="", D10="", D11="",D12=""),"",IF(SUM(D8:D12)&lt;=233,60000,IF(SUM(D8:D12)&gt;=1320,(B78*20000),MIN(O78,129000))))</f>
        <v/>
      </c>
      <c r="Q78" s="13" t="str">
        <f>IF(G13="", "", (SUM(G8:G13)))</f>
        <v/>
      </c>
      <c r="R78" s="13" t="str">
        <f t="shared" si="13"/>
        <v/>
      </c>
      <c r="S78" s="12" t="str">
        <f t="shared" si="14"/>
        <v/>
      </c>
      <c r="T78" s="12" t="str">
        <f t="shared" si="15"/>
        <v/>
      </c>
      <c r="U78" s="25" t="str">
        <f t="shared" si="22"/>
        <v/>
      </c>
    </row>
    <row r="79" spans="1:21" ht="12.75" customHeight="1" x14ac:dyDescent="0.2">
      <c r="A79" s="2" t="s">
        <v>78</v>
      </c>
      <c r="B79" s="5" t="str">
        <f>IF($B$13="", "", 7)</f>
        <v/>
      </c>
      <c r="C79" s="5" t="str">
        <f>IF(D13="", "", D8+D9+D10+D11+D12+D13)</f>
        <v/>
      </c>
      <c r="D79" s="5" t="str">
        <f t="shared" si="5"/>
        <v/>
      </c>
      <c r="E79" s="33" t="str">
        <f t="shared" si="32"/>
        <v/>
      </c>
      <c r="F79" s="33" t="str">
        <f t="shared" si="33"/>
        <v/>
      </c>
      <c r="G79" s="33" t="str">
        <f t="shared" si="34"/>
        <v/>
      </c>
      <c r="H79" s="6" t="str">
        <f t="shared" si="6"/>
        <v/>
      </c>
      <c r="I79" s="6" t="str">
        <f t="shared" si="7"/>
        <v/>
      </c>
      <c r="J79" s="11" t="str">
        <f>IF($B$13="", "", (SUM(500*((G79*B79)/(B79-1)+(12*B79)+36))))</f>
        <v/>
      </c>
      <c r="K79" s="10" t="str">
        <f t="shared" si="8"/>
        <v/>
      </c>
      <c r="L79" s="10" t="str">
        <f t="shared" si="9"/>
        <v/>
      </c>
      <c r="M79" s="10" t="str">
        <f t="shared" si="10"/>
        <v/>
      </c>
      <c r="N79" s="10" t="str">
        <f t="shared" si="11"/>
        <v/>
      </c>
      <c r="O79" s="10" t="str">
        <f t="shared" si="12"/>
        <v/>
      </c>
      <c r="P79" s="37" t="str">
        <f>IF(OR(D8="", D9="", D10="", D11="",D12="",D13=""),"",IF(SUM(D8:D13)&lt;=281,68000,MIN(O79,129000)))</f>
        <v/>
      </c>
      <c r="Q79" s="13" t="str">
        <f>IF(G14="", "", (SUM(G8:G14)))</f>
        <v/>
      </c>
      <c r="R79" s="13" t="str">
        <f t="shared" si="13"/>
        <v/>
      </c>
      <c r="S79" s="12" t="str">
        <f t="shared" si="14"/>
        <v/>
      </c>
      <c r="T79" s="12" t="str">
        <f t="shared" si="15"/>
        <v/>
      </c>
      <c r="U79" s="25" t="str">
        <f t="shared" si="22"/>
        <v/>
      </c>
    </row>
    <row r="80" spans="1:21" ht="12.75" customHeight="1" x14ac:dyDescent="0.2">
      <c r="A80" s="2" t="s">
        <v>28</v>
      </c>
      <c r="B80" s="5" t="str">
        <f>IF($B$9="", "", 2)</f>
        <v/>
      </c>
      <c r="C80" s="5" t="str">
        <f>IF(D9="", "", D9)</f>
        <v/>
      </c>
      <c r="D80" s="5" t="str">
        <f t="shared" si="5"/>
        <v/>
      </c>
      <c r="E80" s="33" t="str">
        <f>IF(D9="", "", (ROUNDDOWN(D80, 0)))</f>
        <v/>
      </c>
      <c r="F80" s="33" t="str">
        <f>IF(D9="","",(MOD(C80,12)))</f>
        <v/>
      </c>
      <c r="G80" s="33" t="str">
        <f>IF(D9="","",(E80+(IF(F80&lt;=5,0,1))))</f>
        <v/>
      </c>
      <c r="H80" s="6" t="str">
        <f t="shared" si="6"/>
        <v/>
      </c>
      <c r="I80" s="6" t="str">
        <f t="shared" si="7"/>
        <v/>
      </c>
      <c r="J80" s="11" t="str">
        <f>IF($B$9="", "", (SUM(500*((G80*B80)/(B80-1)+(12*B80)+36))))</f>
        <v/>
      </c>
      <c r="K80" s="10" t="str">
        <f t="shared" si="8"/>
        <v/>
      </c>
      <c r="L80" s="10" t="str">
        <f t="shared" si="9"/>
        <v/>
      </c>
      <c r="M80" s="10" t="str">
        <f t="shared" si="10"/>
        <v/>
      </c>
      <c r="N80" s="10" t="str">
        <f t="shared" si="11"/>
        <v/>
      </c>
      <c r="O80" s="10" t="str">
        <f t="shared" si="12"/>
        <v/>
      </c>
      <c r="P80" s="37" t="str">
        <f>IF(D9="","",IF(D9&lt;=96,34000,IF(D9&gt;=114,(B80*20000),MIN(O80,129000))))</f>
        <v/>
      </c>
      <c r="Q80" s="13" t="str">
        <f>IF(G10="", "", (SUM(G9:G10)))</f>
        <v/>
      </c>
      <c r="R80" s="13" t="str">
        <f t="shared" si="13"/>
        <v/>
      </c>
      <c r="S80" s="12" t="str">
        <f t="shared" si="14"/>
        <v/>
      </c>
      <c r="T80" s="12" t="str">
        <f t="shared" si="15"/>
        <v/>
      </c>
      <c r="U80" s="25" t="str">
        <f t="shared" si="22"/>
        <v/>
      </c>
    </row>
    <row r="81" spans="1:21" ht="12.75" customHeight="1" x14ac:dyDescent="0.2">
      <c r="A81" s="2" t="s">
        <v>79</v>
      </c>
      <c r="B81" s="5" t="str">
        <f>IF($B$10="", "", 3)</f>
        <v/>
      </c>
      <c r="C81" s="5" t="str">
        <f>IF(D10="", "", D9+D10)</f>
        <v/>
      </c>
      <c r="D81" s="5" t="str">
        <f t="shared" si="5"/>
        <v/>
      </c>
      <c r="E81" s="33" t="str">
        <f t="shared" ref="E81:E84" si="35">IF(D10="", "", (ROUNDDOWN(D81, 0)))</f>
        <v/>
      </c>
      <c r="F81" s="33" t="str">
        <f t="shared" ref="F81:F84" si="36">IF(D10="","",(MOD(C81,12)))</f>
        <v/>
      </c>
      <c r="G81" s="33" t="str">
        <f t="shared" ref="G81:G84" si="37">IF(D10="","",(E81+(IF(F81&lt;=5,0,1))))</f>
        <v/>
      </c>
      <c r="H81" s="6" t="str">
        <f t="shared" si="6"/>
        <v/>
      </c>
      <c r="I81" s="6" t="str">
        <f t="shared" si="7"/>
        <v/>
      </c>
      <c r="J81" s="11" t="str">
        <f>IF($B$10="", "", (SUM(500*((G81*B81)/(B81-1)+(12*B81)+36))))</f>
        <v/>
      </c>
      <c r="K81" s="10" t="str">
        <f t="shared" si="8"/>
        <v/>
      </c>
      <c r="L81" s="10" t="str">
        <f t="shared" si="9"/>
        <v/>
      </c>
      <c r="M81" s="10" t="str">
        <f t="shared" si="10"/>
        <v/>
      </c>
      <c r="N81" s="10" t="str">
        <f t="shared" si="11"/>
        <v/>
      </c>
      <c r="O81" s="10" t="str">
        <f t="shared" si="12"/>
        <v/>
      </c>
      <c r="P81" s="37" t="str">
        <f>IF(OR(D9="", D10=""),"",IF(SUM(D9:D10)&lt;=96,34000,IF(SUM(D9:D10)&gt;=384,(B81*20000),MIN(O81,129000))))</f>
        <v/>
      </c>
      <c r="Q81" s="13" t="str">
        <f>IF(G11="", "", (SUM(G9:G11)))</f>
        <v/>
      </c>
      <c r="R81" s="13" t="str">
        <f t="shared" si="13"/>
        <v/>
      </c>
      <c r="S81" s="12" t="str">
        <f t="shared" si="14"/>
        <v/>
      </c>
      <c r="T81" s="12" t="str">
        <f t="shared" si="15"/>
        <v/>
      </c>
      <c r="U81" s="25" t="str">
        <f t="shared" ref="U81:U94" si="38">IF(R81="", "", IF(R81&lt;0,(CONCATENATE(T81," lbs Over")), "Allowed"))</f>
        <v/>
      </c>
    </row>
    <row r="82" spans="1:21" ht="12.75" customHeight="1" x14ac:dyDescent="0.2">
      <c r="A82" s="2" t="s">
        <v>80</v>
      </c>
      <c r="B82" s="5" t="str">
        <f>IF($B$11="", "", 4)</f>
        <v/>
      </c>
      <c r="C82" s="5" t="str">
        <f>IF(D11="", "", D9+D10+D11)</f>
        <v/>
      </c>
      <c r="D82" s="5" t="str">
        <f t="shared" ref="D82:D94" si="39">IF(C82="", "", (C82/12))</f>
        <v/>
      </c>
      <c r="E82" s="33" t="str">
        <f t="shared" si="35"/>
        <v/>
      </c>
      <c r="F82" s="33" t="str">
        <f t="shared" si="36"/>
        <v/>
      </c>
      <c r="G82" s="33" t="str">
        <f t="shared" si="37"/>
        <v/>
      </c>
      <c r="H82" s="6" t="str">
        <f t="shared" ref="H82:H94" si="40">IF(G82="", "", CONCATENATE(G82, "'"))</f>
        <v/>
      </c>
      <c r="I82" s="6" t="str">
        <f t="shared" ref="I82:I94" si="41">IF(E82="","",CONCATENATE(E82,"' ",F82,""""))</f>
        <v/>
      </c>
      <c r="J82" s="11" t="str">
        <f>IF($B$11="", "", (SUM(500*((G82*B82)/(B82-1)+(12*B82)+36))))</f>
        <v/>
      </c>
      <c r="K82" s="10" t="str">
        <f t="shared" ref="K82:K94" si="42">IF(J82="", "", INT(J82))</f>
        <v/>
      </c>
      <c r="L82" s="10" t="str">
        <f t="shared" ref="L82:L94" si="43">IF(K82="", "", FLOOR(K82, 1000))</f>
        <v/>
      </c>
      <c r="M82" s="10" t="str">
        <f t="shared" ref="M82:M94" si="44">IF(K82="", "", (VALUE(RIGHT(K82, 3))))</f>
        <v/>
      </c>
      <c r="N82" s="10" t="str">
        <f t="shared" ref="N82:N94" si="45">IF(K82="", "", IF(M82&lt;=250, 0, IF(M82&lt;=750, 500, 1000)))</f>
        <v/>
      </c>
      <c r="O82" s="10" t="str">
        <f t="shared" ref="O82:O94" si="46">IF(J82="", "", (SUM(L82+N82)))</f>
        <v/>
      </c>
      <c r="P82" s="37" t="str">
        <f>IF(OR(D9="", D10="", D11=""),"",IF(SUM(D9:D11)&lt;=137,44000,IF(SUM(D9:D11)&gt;=684,(B82*20000),MIN(O82,129000))))</f>
        <v/>
      </c>
      <c r="Q82" s="13" t="str">
        <f>IF(G12="", "", (SUM(G9:G12)))</f>
        <v/>
      </c>
      <c r="R82" s="13" t="str">
        <f t="shared" ref="R82:R94" si="47">IF(Q82="", "", (SUM(P82-Q82)))</f>
        <v/>
      </c>
      <c r="S82" s="12" t="str">
        <f t="shared" ref="S82:S94" si="48">IF(Q82="", "", IF(R82&lt;0, "Over", "Under"))</f>
        <v/>
      </c>
      <c r="T82" s="12" t="str">
        <f t="shared" ref="T82:T94" si="49">IF(R82="", "", FIXED(ABS(R82),0))</f>
        <v/>
      </c>
      <c r="U82" s="25" t="str">
        <f t="shared" si="38"/>
        <v/>
      </c>
    </row>
    <row r="83" spans="1:21" ht="12.75" customHeight="1" x14ac:dyDescent="0.2">
      <c r="A83" s="2" t="s">
        <v>81</v>
      </c>
      <c r="B83" s="5" t="str">
        <f>IF($B$12="", "", 5)</f>
        <v/>
      </c>
      <c r="C83" s="5" t="str">
        <f>IF(D12="", "", D9+D10+D11+D12)</f>
        <v/>
      </c>
      <c r="D83" s="5" t="str">
        <f t="shared" si="39"/>
        <v/>
      </c>
      <c r="E83" s="33" t="str">
        <f t="shared" si="35"/>
        <v/>
      </c>
      <c r="F83" s="33" t="str">
        <f t="shared" si="36"/>
        <v/>
      </c>
      <c r="G83" s="33" t="str">
        <f t="shared" si="37"/>
        <v/>
      </c>
      <c r="H83" s="6" t="str">
        <f t="shared" si="40"/>
        <v/>
      </c>
      <c r="I83" s="6" t="str">
        <f t="shared" si="41"/>
        <v/>
      </c>
      <c r="J83" s="11" t="str">
        <f>IF($B$12="", "", (SUM(500*((G83*B83)/(B83-1)+(12*B83)+36))))</f>
        <v/>
      </c>
      <c r="K83" s="10" t="str">
        <f t="shared" si="42"/>
        <v/>
      </c>
      <c r="L83" s="10" t="str">
        <f t="shared" si="43"/>
        <v/>
      </c>
      <c r="M83" s="10" t="str">
        <f t="shared" si="44"/>
        <v/>
      </c>
      <c r="N83" s="10" t="str">
        <f t="shared" si="45"/>
        <v/>
      </c>
      <c r="O83" s="10" t="str">
        <f t="shared" si="46"/>
        <v/>
      </c>
      <c r="P83" s="37" t="str">
        <f>IF(OR(D9="", D10="", D11="", D12=""),"",IF(SUM(D9:D12)&lt;=185,52000,IF(SUM(D9:D12)&gt;=996,(B83*20000),MIN(O83,129000))))</f>
        <v/>
      </c>
      <c r="Q83" s="13" t="str">
        <f>IF(G13="", "", (SUM(G9:G13)))</f>
        <v/>
      </c>
      <c r="R83" s="13" t="str">
        <f t="shared" si="47"/>
        <v/>
      </c>
      <c r="S83" s="12" t="str">
        <f t="shared" si="48"/>
        <v/>
      </c>
      <c r="T83" s="12" t="str">
        <f t="shared" si="49"/>
        <v/>
      </c>
      <c r="U83" s="25" t="str">
        <f t="shared" si="38"/>
        <v/>
      </c>
    </row>
    <row r="84" spans="1:21" ht="12.75" customHeight="1" x14ac:dyDescent="0.2">
      <c r="A84" s="2" t="s">
        <v>82</v>
      </c>
      <c r="B84" s="5" t="str">
        <f>IF($B$13="", "", 6)</f>
        <v/>
      </c>
      <c r="C84" s="5" t="str">
        <f>IF(D13="", "", D9+D10+D11+D12+D13)</f>
        <v/>
      </c>
      <c r="D84" s="5" t="str">
        <f t="shared" si="39"/>
        <v/>
      </c>
      <c r="E84" s="33" t="str">
        <f t="shared" si="35"/>
        <v/>
      </c>
      <c r="F84" s="33" t="str">
        <f t="shared" si="36"/>
        <v/>
      </c>
      <c r="G84" s="33" t="str">
        <f t="shared" si="37"/>
        <v/>
      </c>
      <c r="H84" s="6" t="str">
        <f t="shared" si="40"/>
        <v/>
      </c>
      <c r="I84" s="6" t="str">
        <f t="shared" si="41"/>
        <v/>
      </c>
      <c r="J84" s="11" t="str">
        <f t="shared" ref="J84:J91" si="50">IF($B$13="", "", (SUM(500*((G84*B84)/(B84-1)+(12*B84)+36))))</f>
        <v/>
      </c>
      <c r="K84" s="10" t="str">
        <f t="shared" si="42"/>
        <v/>
      </c>
      <c r="L84" s="10" t="str">
        <f t="shared" si="43"/>
        <v/>
      </c>
      <c r="M84" s="10" t="str">
        <f t="shared" si="44"/>
        <v/>
      </c>
      <c r="N84" s="10" t="str">
        <f t="shared" si="45"/>
        <v/>
      </c>
      <c r="O84" s="10" t="str">
        <f t="shared" si="46"/>
        <v/>
      </c>
      <c r="P84" s="37" t="str">
        <f>IF(OR(D9="", D10="", D11="", D12="",D13=""),"",IF(SUM(D9:D13)&lt;=233,60000,IF(SUM(D9:D13)&gt;=1320,(B84*20000),MIN(O84,129000))))</f>
        <v/>
      </c>
      <c r="Q84" s="13" t="str">
        <f>IF(G14="", "", (SUM(G9:G14)))</f>
        <v/>
      </c>
      <c r="R84" s="13" t="str">
        <f t="shared" si="47"/>
        <v/>
      </c>
      <c r="S84" s="12" t="str">
        <f t="shared" si="48"/>
        <v/>
      </c>
      <c r="T84" s="12" t="str">
        <f t="shared" si="49"/>
        <v/>
      </c>
      <c r="U84" s="25" t="str">
        <f t="shared" si="38"/>
        <v/>
      </c>
    </row>
    <row r="85" spans="1:21" ht="12.75" customHeight="1" x14ac:dyDescent="0.2">
      <c r="A85" s="2" t="s">
        <v>29</v>
      </c>
      <c r="B85" s="5" t="str">
        <f>IF($B$10="", "", 2)</f>
        <v/>
      </c>
      <c r="C85" s="5" t="str">
        <f>IF(D10="", "", D10)</f>
        <v/>
      </c>
      <c r="D85" s="5" t="str">
        <f t="shared" si="39"/>
        <v/>
      </c>
      <c r="E85" s="33" t="str">
        <f>IF(D10="", "", (ROUNDDOWN(D85, 0)))</f>
        <v/>
      </c>
      <c r="F85" s="33" t="str">
        <f>IF(D10="","",(MOD(C85,12)))</f>
        <v/>
      </c>
      <c r="G85" s="33" t="str">
        <f>IF(D10="","",(E85+(IF(F85&lt;=5,0,1))))</f>
        <v/>
      </c>
      <c r="H85" s="6" t="str">
        <f t="shared" si="40"/>
        <v/>
      </c>
      <c r="I85" s="6" t="str">
        <f t="shared" si="41"/>
        <v/>
      </c>
      <c r="J85" s="11" t="str">
        <f>IF($B$10="", "", (SUM(500*((G85*B85)/(B85-1)+(12*B85)+36))))</f>
        <v/>
      </c>
      <c r="K85" s="10" t="str">
        <f t="shared" si="42"/>
        <v/>
      </c>
      <c r="L85" s="10" t="str">
        <f t="shared" si="43"/>
        <v/>
      </c>
      <c r="M85" s="10" t="str">
        <f t="shared" si="44"/>
        <v/>
      </c>
      <c r="N85" s="10" t="str">
        <f t="shared" si="45"/>
        <v/>
      </c>
      <c r="O85" s="10" t="str">
        <f t="shared" si="46"/>
        <v/>
      </c>
      <c r="P85" s="37" t="str">
        <f>IF(D10="","",IF(D10&lt;=96,34000,IF(D10&gt;=114,(B85*20000),MIN(O85,129000))))</f>
        <v/>
      </c>
      <c r="Q85" s="13" t="str">
        <f>IF(G11="", "", (SUM(G10:G11)))</f>
        <v/>
      </c>
      <c r="R85" s="13" t="str">
        <f t="shared" si="47"/>
        <v/>
      </c>
      <c r="S85" s="12" t="str">
        <f t="shared" si="48"/>
        <v/>
      </c>
      <c r="T85" s="12" t="str">
        <f t="shared" si="49"/>
        <v/>
      </c>
      <c r="U85" s="25" t="str">
        <f t="shared" si="38"/>
        <v/>
      </c>
    </row>
    <row r="86" spans="1:21" ht="12.75" customHeight="1" x14ac:dyDescent="0.2">
      <c r="A86" s="2" t="s">
        <v>83</v>
      </c>
      <c r="B86" s="5" t="str">
        <f>IF($B$11="", "", 3)</f>
        <v/>
      </c>
      <c r="C86" s="5" t="str">
        <f>IF(D11="", "", D10+D11)</f>
        <v/>
      </c>
      <c r="D86" s="5" t="str">
        <f t="shared" si="39"/>
        <v/>
      </c>
      <c r="E86" s="33" t="str">
        <f t="shared" ref="E86:E88" si="51">IF(D11="", "", (ROUNDDOWN(D86, 0)))</f>
        <v/>
      </c>
      <c r="F86" s="33" t="str">
        <f t="shared" ref="F86:F88" si="52">IF(D11="","",(MOD(C86,12)))</f>
        <v/>
      </c>
      <c r="G86" s="33" t="str">
        <f t="shared" ref="G86:G88" si="53">IF(D11="","",(E86+(IF(F86&lt;=5,0,1))))</f>
        <v/>
      </c>
      <c r="H86" s="6" t="str">
        <f t="shared" si="40"/>
        <v/>
      </c>
      <c r="I86" s="6" t="str">
        <f t="shared" si="41"/>
        <v/>
      </c>
      <c r="J86" s="11" t="str">
        <f>IF($B$11="", "", (SUM(500*((G86*B86)/(B86-1)+(12*B86)+36))))</f>
        <v/>
      </c>
      <c r="K86" s="10" t="str">
        <f t="shared" si="42"/>
        <v/>
      </c>
      <c r="L86" s="10" t="str">
        <f t="shared" si="43"/>
        <v/>
      </c>
      <c r="M86" s="10" t="str">
        <f t="shared" si="44"/>
        <v/>
      </c>
      <c r="N86" s="10" t="str">
        <f t="shared" si="45"/>
        <v/>
      </c>
      <c r="O86" s="10" t="str">
        <f t="shared" si="46"/>
        <v/>
      </c>
      <c r="P86" s="37" t="str">
        <f>IF(OR(D10="", D11=""),"",IF(SUM(D10:D11)&lt;=96,34000,IF(SUM(D10:D11)&gt;=384,(B86*20000),MIN(O86,129000))))</f>
        <v/>
      </c>
      <c r="Q86" s="13" t="str">
        <f>IF(G12="", "", (SUM(G10:G12)))</f>
        <v/>
      </c>
      <c r="R86" s="13" t="str">
        <f t="shared" si="47"/>
        <v/>
      </c>
      <c r="S86" s="12" t="str">
        <f t="shared" si="48"/>
        <v/>
      </c>
      <c r="T86" s="12" t="str">
        <f t="shared" si="49"/>
        <v/>
      </c>
      <c r="U86" s="25" t="str">
        <f t="shared" si="38"/>
        <v/>
      </c>
    </row>
    <row r="87" spans="1:21" ht="12.75" customHeight="1" x14ac:dyDescent="0.2">
      <c r="A87" s="2" t="s">
        <v>84</v>
      </c>
      <c r="B87" s="5" t="str">
        <f>IF($B$12="", "", 4)</f>
        <v/>
      </c>
      <c r="C87" s="5" t="str">
        <f>IF(D12="", "", D10+D11+D12)</f>
        <v/>
      </c>
      <c r="D87" s="5" t="str">
        <f t="shared" si="39"/>
        <v/>
      </c>
      <c r="E87" s="33" t="str">
        <f t="shared" si="51"/>
        <v/>
      </c>
      <c r="F87" s="33" t="str">
        <f t="shared" si="52"/>
        <v/>
      </c>
      <c r="G87" s="33" t="str">
        <f t="shared" si="53"/>
        <v/>
      </c>
      <c r="H87" s="6" t="str">
        <f t="shared" si="40"/>
        <v/>
      </c>
      <c r="I87" s="6" t="str">
        <f t="shared" si="41"/>
        <v/>
      </c>
      <c r="J87" s="11" t="str">
        <f>IF($B$12="", "", (SUM(500*((G87*B87)/(B87-1)+(12*B87)+36))))</f>
        <v/>
      </c>
      <c r="K87" s="10" t="str">
        <f t="shared" si="42"/>
        <v/>
      </c>
      <c r="L87" s="10" t="str">
        <f t="shared" si="43"/>
        <v/>
      </c>
      <c r="M87" s="10" t="str">
        <f t="shared" si="44"/>
        <v/>
      </c>
      <c r="N87" s="10" t="str">
        <f t="shared" si="45"/>
        <v/>
      </c>
      <c r="O87" s="10" t="str">
        <f t="shared" si="46"/>
        <v/>
      </c>
      <c r="P87" s="37" t="str">
        <f>IF(OR(D10="", D11="", D12=""),"",IF(SUM(D10:D12)&lt;=137,44000,IF(SUM(D10:D12)&gt;=684,(B87*20000),MIN(O87,129000))))</f>
        <v/>
      </c>
      <c r="Q87" s="13" t="str">
        <f>IF(G13="", "", (SUM(G10:G13)))</f>
        <v/>
      </c>
      <c r="R87" s="13" t="str">
        <f t="shared" si="47"/>
        <v/>
      </c>
      <c r="S87" s="12" t="str">
        <f t="shared" si="48"/>
        <v/>
      </c>
      <c r="T87" s="12" t="str">
        <f t="shared" si="49"/>
        <v/>
      </c>
      <c r="U87" s="25" t="str">
        <f t="shared" si="38"/>
        <v/>
      </c>
    </row>
    <row r="88" spans="1:21" ht="12.75" customHeight="1" x14ac:dyDescent="0.2">
      <c r="A88" s="2" t="s">
        <v>85</v>
      </c>
      <c r="B88" s="5" t="str">
        <f>IF($B$13="", "", 5)</f>
        <v/>
      </c>
      <c r="C88" s="5" t="str">
        <f>IF(D13="", "", D10+D11+D12+D13)</f>
        <v/>
      </c>
      <c r="D88" s="5" t="str">
        <f t="shared" si="39"/>
        <v/>
      </c>
      <c r="E88" s="33" t="str">
        <f t="shared" si="51"/>
        <v/>
      </c>
      <c r="F88" s="33" t="str">
        <f t="shared" si="52"/>
        <v/>
      </c>
      <c r="G88" s="33" t="str">
        <f t="shared" si="53"/>
        <v/>
      </c>
      <c r="H88" s="6" t="str">
        <f t="shared" si="40"/>
        <v/>
      </c>
      <c r="I88" s="6" t="str">
        <f t="shared" si="41"/>
        <v/>
      </c>
      <c r="J88" s="11" t="str">
        <f t="shared" si="50"/>
        <v/>
      </c>
      <c r="K88" s="10" t="str">
        <f t="shared" si="42"/>
        <v/>
      </c>
      <c r="L88" s="10" t="str">
        <f t="shared" si="43"/>
        <v/>
      </c>
      <c r="M88" s="10" t="str">
        <f t="shared" si="44"/>
        <v/>
      </c>
      <c r="N88" s="10" t="str">
        <f t="shared" si="45"/>
        <v/>
      </c>
      <c r="O88" s="10" t="str">
        <f t="shared" si="46"/>
        <v/>
      </c>
      <c r="P88" s="37" t="str">
        <f>IF(OR(D10="", D11="", D12="", D13=""),"",IF(SUM(D10:D13)&lt;=185,52000,IF(SUM(D10:D13)&gt;=996,(B88*20000),MIN(O88,129000))))</f>
        <v/>
      </c>
      <c r="Q88" s="13" t="str">
        <f>IF(G14="", "", (SUM(G10:G14)))</f>
        <v/>
      </c>
      <c r="R88" s="13" t="str">
        <f t="shared" si="47"/>
        <v/>
      </c>
      <c r="S88" s="12" t="str">
        <f t="shared" si="48"/>
        <v/>
      </c>
      <c r="T88" s="12" t="str">
        <f t="shared" si="49"/>
        <v/>
      </c>
      <c r="U88" s="25" t="str">
        <f t="shared" si="38"/>
        <v/>
      </c>
    </row>
    <row r="89" spans="1:21" ht="12.75" customHeight="1" x14ac:dyDescent="0.2">
      <c r="A89" s="2" t="s">
        <v>30</v>
      </c>
      <c r="B89" s="5" t="str">
        <f>IF($B$11="", "", 2)</f>
        <v/>
      </c>
      <c r="C89" s="5" t="str">
        <f>IF(D11="", "", D11)</f>
        <v/>
      </c>
      <c r="D89" s="5" t="str">
        <f t="shared" si="39"/>
        <v/>
      </c>
      <c r="E89" s="33" t="str">
        <f>IF(D11="", "", (ROUNDDOWN(D89, 0)))</f>
        <v/>
      </c>
      <c r="F89" s="33" t="str">
        <f>IF(D11="","",(MOD(C89,12)))</f>
        <v/>
      </c>
      <c r="G89" s="33" t="str">
        <f>IF(D11="","",(E89+(IF(F89&lt;=5,0,1))))</f>
        <v/>
      </c>
      <c r="H89" s="6" t="str">
        <f t="shared" si="40"/>
        <v/>
      </c>
      <c r="I89" s="6" t="str">
        <f t="shared" si="41"/>
        <v/>
      </c>
      <c r="J89" s="11" t="str">
        <f>IF($B$11="", "", (SUM(500*((G89*B89)/(B89-1)+(12*B89)+36))))</f>
        <v/>
      </c>
      <c r="K89" s="10" t="str">
        <f t="shared" si="42"/>
        <v/>
      </c>
      <c r="L89" s="10" t="str">
        <f t="shared" si="43"/>
        <v/>
      </c>
      <c r="M89" s="10" t="str">
        <f t="shared" si="44"/>
        <v/>
      </c>
      <c r="N89" s="10" t="str">
        <f t="shared" si="45"/>
        <v/>
      </c>
      <c r="O89" s="10" t="str">
        <f t="shared" si="46"/>
        <v/>
      </c>
      <c r="P89" s="37" t="str">
        <f>IF(D11="","",IF(D11&lt;=96,34000,IF(D11&gt;=114,(B89*20000),MIN(O89,129000))))</f>
        <v/>
      </c>
      <c r="Q89" s="13" t="str">
        <f>IF(G12="", "", (SUM(G11:G12)))</f>
        <v/>
      </c>
      <c r="R89" s="13" t="str">
        <f t="shared" si="47"/>
        <v/>
      </c>
      <c r="S89" s="12" t="str">
        <f t="shared" si="48"/>
        <v/>
      </c>
      <c r="T89" s="12" t="str">
        <f t="shared" si="49"/>
        <v/>
      </c>
      <c r="U89" s="25" t="str">
        <f t="shared" si="38"/>
        <v/>
      </c>
    </row>
    <row r="90" spans="1:21" ht="12.75" customHeight="1" x14ac:dyDescent="0.2">
      <c r="A90" s="2" t="s">
        <v>86</v>
      </c>
      <c r="B90" s="5" t="str">
        <f>IF($B$12="", "", 3)</f>
        <v/>
      </c>
      <c r="C90" s="5" t="str">
        <f>IF(D12="", "", D11+D12)</f>
        <v/>
      </c>
      <c r="D90" s="5" t="str">
        <f t="shared" si="39"/>
        <v/>
      </c>
      <c r="E90" s="33" t="str">
        <f t="shared" ref="E90:E91" si="54">IF(D12="", "", (ROUNDDOWN(D90, 0)))</f>
        <v/>
      </c>
      <c r="F90" s="33" t="str">
        <f t="shared" ref="F90:F91" si="55">IF(D12="","",(MOD(C90,12)))</f>
        <v/>
      </c>
      <c r="G90" s="33" t="str">
        <f t="shared" ref="G90:G91" si="56">IF(D12="","",(E90+(IF(F90&lt;=5,0,1))))</f>
        <v/>
      </c>
      <c r="H90" s="6" t="str">
        <f t="shared" si="40"/>
        <v/>
      </c>
      <c r="I90" s="6" t="str">
        <f t="shared" si="41"/>
        <v/>
      </c>
      <c r="J90" s="11" t="str">
        <f>IF($B$12="", "", (SUM(500*((G90*B90)/(B90-1)+(12*B90)+36))))</f>
        <v/>
      </c>
      <c r="K90" s="10" t="str">
        <f t="shared" si="42"/>
        <v/>
      </c>
      <c r="L90" s="10" t="str">
        <f t="shared" si="43"/>
        <v/>
      </c>
      <c r="M90" s="10" t="str">
        <f t="shared" si="44"/>
        <v/>
      </c>
      <c r="N90" s="10" t="str">
        <f t="shared" si="45"/>
        <v/>
      </c>
      <c r="O90" s="10" t="str">
        <f t="shared" si="46"/>
        <v/>
      </c>
      <c r="P90" s="37" t="str">
        <f>IF(OR(D11="", D12=""),"",IF(SUM(D11:D12)&lt;=96,34000,IF(SUM(D11:D12)&gt;=384,(B90*20000),MIN(O90,129000))))</f>
        <v/>
      </c>
      <c r="Q90" s="13" t="str">
        <f>IF(G13="", "", (SUM(G11:G13)))</f>
        <v/>
      </c>
      <c r="R90" s="13" t="str">
        <f t="shared" si="47"/>
        <v/>
      </c>
      <c r="S90" s="12" t="str">
        <f t="shared" si="48"/>
        <v/>
      </c>
      <c r="T90" s="12" t="str">
        <f t="shared" si="49"/>
        <v/>
      </c>
      <c r="U90" s="25" t="str">
        <f t="shared" si="38"/>
        <v/>
      </c>
    </row>
    <row r="91" spans="1:21" ht="12.75" customHeight="1" x14ac:dyDescent="0.2">
      <c r="A91" s="2" t="s">
        <v>87</v>
      </c>
      <c r="B91" s="5" t="str">
        <f>IF($B$13="", "", 4)</f>
        <v/>
      </c>
      <c r="C91" s="5" t="str">
        <f>IF(D13="", "", D11+D12+D13)</f>
        <v/>
      </c>
      <c r="D91" s="5" t="str">
        <f t="shared" si="39"/>
        <v/>
      </c>
      <c r="E91" s="33" t="str">
        <f t="shared" si="54"/>
        <v/>
      </c>
      <c r="F91" s="33" t="str">
        <f t="shared" si="55"/>
        <v/>
      </c>
      <c r="G91" s="33" t="str">
        <f t="shared" si="56"/>
        <v/>
      </c>
      <c r="H91" s="6" t="str">
        <f t="shared" si="40"/>
        <v/>
      </c>
      <c r="I91" s="6" t="str">
        <f t="shared" si="41"/>
        <v/>
      </c>
      <c r="J91" s="11" t="str">
        <f t="shared" si="50"/>
        <v/>
      </c>
      <c r="K91" s="10" t="str">
        <f t="shared" si="42"/>
        <v/>
      </c>
      <c r="L91" s="10" t="str">
        <f t="shared" si="43"/>
        <v/>
      </c>
      <c r="M91" s="10" t="str">
        <f t="shared" si="44"/>
        <v/>
      </c>
      <c r="N91" s="10" t="str">
        <f t="shared" si="45"/>
        <v/>
      </c>
      <c r="O91" s="10" t="str">
        <f t="shared" si="46"/>
        <v/>
      </c>
      <c r="P91" s="37" t="str">
        <f>IF(OR(D11="", D12="", D13=""),"",IF(SUM(D11:D13)&lt;=137,44000,IF(SUM(D11:D13)&gt;=684,(B91*20000),MIN(O91,129000))))</f>
        <v/>
      </c>
      <c r="Q91" s="13" t="str">
        <f>IF(G14="", "", (SUM(G11:G14)))</f>
        <v/>
      </c>
      <c r="R91" s="13" t="str">
        <f t="shared" si="47"/>
        <v/>
      </c>
      <c r="S91" s="12" t="str">
        <f t="shared" si="48"/>
        <v/>
      </c>
      <c r="T91" s="12" t="str">
        <f t="shared" si="49"/>
        <v/>
      </c>
      <c r="U91" s="25" t="str">
        <f t="shared" si="38"/>
        <v/>
      </c>
    </row>
    <row r="92" spans="1:21" ht="12.75" customHeight="1" x14ac:dyDescent="0.2">
      <c r="A92" s="2" t="s">
        <v>31</v>
      </c>
      <c r="B92" s="5" t="str">
        <f>IF($B$12="", "", 2)</f>
        <v/>
      </c>
      <c r="C92" s="5" t="str">
        <f>IF(D12="", "", D12)</f>
        <v/>
      </c>
      <c r="D92" s="5" t="str">
        <f t="shared" si="39"/>
        <v/>
      </c>
      <c r="E92" s="33" t="str">
        <f>IF(D12="", "", (ROUNDDOWN(D92, 0)))</f>
        <v/>
      </c>
      <c r="F92" s="33" t="str">
        <f>IF(D12="","",(MOD(C92,12)))</f>
        <v/>
      </c>
      <c r="G92" s="33" t="str">
        <f>IF(D12="","",(E92+(IF(F92&lt;=5,0,1))))</f>
        <v/>
      </c>
      <c r="H92" s="6" t="str">
        <f t="shared" si="40"/>
        <v/>
      </c>
      <c r="I92" s="6" t="str">
        <f t="shared" si="41"/>
        <v/>
      </c>
      <c r="J92" s="11" t="str">
        <f>IF($B$12="", "", (SUM(500*((G92*B92)/(B92-1)+(12*B92)+36))))</f>
        <v/>
      </c>
      <c r="K92" s="10" t="str">
        <f t="shared" si="42"/>
        <v/>
      </c>
      <c r="L92" s="10" t="str">
        <f t="shared" si="43"/>
        <v/>
      </c>
      <c r="M92" s="10" t="str">
        <f t="shared" si="44"/>
        <v/>
      </c>
      <c r="N92" s="10" t="str">
        <f t="shared" si="45"/>
        <v/>
      </c>
      <c r="O92" s="10" t="str">
        <f t="shared" si="46"/>
        <v/>
      </c>
      <c r="P92" s="37" t="str">
        <f>IF(D12="","",IF(D12&lt;=96,34000,IF(D12&gt;=114,(B92*20000),MIN(O92,129000))))</f>
        <v/>
      </c>
      <c r="Q92" s="13" t="str">
        <f>IF(G13="", "", (SUM(G12:G13)))</f>
        <v/>
      </c>
      <c r="R92" s="13" t="str">
        <f t="shared" si="47"/>
        <v/>
      </c>
      <c r="S92" s="12" t="str">
        <f t="shared" si="48"/>
        <v/>
      </c>
      <c r="T92" s="12" t="str">
        <f t="shared" si="49"/>
        <v/>
      </c>
      <c r="U92" s="25" t="str">
        <f t="shared" si="38"/>
        <v/>
      </c>
    </row>
    <row r="93" spans="1:21" ht="12.75" customHeight="1" x14ac:dyDescent="0.2">
      <c r="A93" s="2" t="s">
        <v>88</v>
      </c>
      <c r="B93" s="5" t="str">
        <f>IF($B$13="", "", 3)</f>
        <v/>
      </c>
      <c r="C93" s="5" t="str">
        <f>IF(D13="", "", D12+D13)</f>
        <v/>
      </c>
      <c r="D93" s="5" t="str">
        <f t="shared" si="39"/>
        <v/>
      </c>
      <c r="E93" s="33" t="str">
        <f>IF(D13="", "", (ROUNDDOWN(D93, 0)))</f>
        <v/>
      </c>
      <c r="F93" s="33" t="str">
        <f>IF(D13="","",(MOD(C93,12)))</f>
        <v/>
      </c>
      <c r="G93" s="33" t="str">
        <f t="shared" ref="G93" si="57">IF(D13="","",(E93+(IF(F93&lt;=5,0,1))))</f>
        <v/>
      </c>
      <c r="H93" s="6" t="str">
        <f t="shared" si="40"/>
        <v/>
      </c>
      <c r="I93" s="6" t="str">
        <f t="shared" si="41"/>
        <v/>
      </c>
      <c r="J93" s="11" t="str">
        <f>IF($B$13="", "", (SUM(500*((G93*B93)/(B93-1)+(12*B93)+36))))</f>
        <v/>
      </c>
      <c r="K93" s="10" t="str">
        <f t="shared" si="42"/>
        <v/>
      </c>
      <c r="L93" s="10" t="str">
        <f t="shared" si="43"/>
        <v/>
      </c>
      <c r="M93" s="10" t="str">
        <f t="shared" si="44"/>
        <v/>
      </c>
      <c r="N93" s="10" t="str">
        <f t="shared" si="45"/>
        <v/>
      </c>
      <c r="O93" s="10" t="str">
        <f t="shared" si="46"/>
        <v/>
      </c>
      <c r="P93" s="37" t="str">
        <f>IF(OR(D12="", D13=""),"",IF(SUM(D12:D13)&lt;=96,34000,IF(SUM(D12:D13)&gt;=384,(B93*20000),MIN(O93,129000))))</f>
        <v/>
      </c>
      <c r="Q93" s="13" t="str">
        <f>IF(G14="", "", (SUM(G12:G14)))</f>
        <v/>
      </c>
      <c r="R93" s="13" t="str">
        <f t="shared" si="47"/>
        <v/>
      </c>
      <c r="S93" s="12" t="str">
        <f t="shared" si="48"/>
        <v/>
      </c>
      <c r="T93" s="12" t="str">
        <f t="shared" si="49"/>
        <v/>
      </c>
      <c r="U93" s="25" t="str">
        <f t="shared" si="38"/>
        <v/>
      </c>
    </row>
    <row r="94" spans="1:21" ht="12.75" customHeight="1" x14ac:dyDescent="0.2">
      <c r="A94" s="2" t="s">
        <v>32</v>
      </c>
      <c r="B94" s="5" t="str">
        <f>IF($B$13="", "", 2)</f>
        <v/>
      </c>
      <c r="C94" s="5" t="str">
        <f>IF(D13="", "", D13)</f>
        <v/>
      </c>
      <c r="D94" s="5" t="str">
        <f t="shared" si="39"/>
        <v/>
      </c>
      <c r="E94" s="33" t="str">
        <f>IF(D13="", "", (ROUNDDOWN(D94, 0)))</f>
        <v/>
      </c>
      <c r="F94" s="33" t="str">
        <f>IF(D13="","",(MOD(C94,12)))</f>
        <v/>
      </c>
      <c r="G94" s="33" t="str">
        <f>IF(D13="","",(E94+(IF(F94&lt;=5,0,1))))</f>
        <v/>
      </c>
      <c r="H94" s="6" t="str">
        <f t="shared" si="40"/>
        <v/>
      </c>
      <c r="I94" s="6" t="str">
        <f t="shared" si="41"/>
        <v/>
      </c>
      <c r="J94" s="11" t="str">
        <f>IF($B$13="", "", (SUM(500*((G94*B94)/(B94-1)+(12*B94)+36))))</f>
        <v/>
      </c>
      <c r="K94" s="10" t="str">
        <f t="shared" si="42"/>
        <v/>
      </c>
      <c r="L94" s="10" t="str">
        <f t="shared" si="43"/>
        <v/>
      </c>
      <c r="M94" s="10" t="str">
        <f t="shared" si="44"/>
        <v/>
      </c>
      <c r="N94" s="10" t="str">
        <f t="shared" si="45"/>
        <v/>
      </c>
      <c r="O94" s="10" t="str">
        <f t="shared" si="46"/>
        <v/>
      </c>
      <c r="P94" s="37" t="str">
        <f>IF(D13="","",IF(D13&lt;=96,34000,IF(D13&gt;=114,(B94*20000),MIN(O94,129000))))</f>
        <v/>
      </c>
      <c r="Q94" s="13" t="str">
        <f>IF(G14="", "", (SUM(G13:G14)))</f>
        <v/>
      </c>
      <c r="R94" s="13" t="str">
        <f t="shared" si="47"/>
        <v/>
      </c>
      <c r="S94" s="12" t="str">
        <f t="shared" si="48"/>
        <v/>
      </c>
      <c r="T94" s="12" t="str">
        <f t="shared" si="49"/>
        <v/>
      </c>
      <c r="U94" s="25" t="str">
        <f t="shared" si="38"/>
        <v/>
      </c>
    </row>
    <row r="95" spans="1:21" x14ac:dyDescent="0.2">
      <c r="S95" s="21">
        <f>COUNTIF(S17:S94, "Over")</f>
        <v>0</v>
      </c>
    </row>
  </sheetData>
  <sheetProtection sheet="1" objects="1" scenarios="1"/>
  <mergeCells count="2">
    <mergeCell ref="I4:I5"/>
    <mergeCell ref="I8:I9"/>
  </mergeCells>
  <pageMargins left="0.7" right="0.7" top="0.75" bottom="0.75" header="0.3" footer="0.3"/>
  <ignoredErrors>
    <ignoredError sqref="J91:J92"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E16"/>
  <sheetViews>
    <sheetView zoomScale="90" zoomScaleNormal="90" workbookViewId="0">
      <selection activeCell="C16" sqref="C16"/>
    </sheetView>
  </sheetViews>
  <sheetFormatPr defaultRowHeight="12.75" x14ac:dyDescent="0.2"/>
  <cols>
    <col min="1" max="1" width="87.5703125" style="14" customWidth="1"/>
    <col min="2" max="2" width="10.5703125" style="14" customWidth="1"/>
    <col min="3" max="3" width="87.85546875" style="14" customWidth="1"/>
    <col min="4" max="4" width="9.140625" style="14"/>
    <col min="5" max="5" width="72.85546875" style="14" customWidth="1"/>
    <col min="6" max="16384" width="9.140625" style="14"/>
  </cols>
  <sheetData>
    <row r="1" spans="1:5" x14ac:dyDescent="0.2">
      <c r="A1" s="24" t="s">
        <v>134</v>
      </c>
      <c r="B1" s="24" t="s">
        <v>113</v>
      </c>
      <c r="C1" s="24" t="s">
        <v>134</v>
      </c>
    </row>
    <row r="2" spans="1:5" x14ac:dyDescent="0.2">
      <c r="A2" s="17" t="s">
        <v>132</v>
      </c>
      <c r="B2" s="20" t="str">
        <f>IF(OR(AND(Data!G2&lt;&gt;"", Data!G2&gt;20000), AND(Data!G3&lt;&gt;"", Data!G3&gt;20000), AND(Data!G4&lt;&gt;"", Data!G4&gt;20000), AND(Data!G5&lt;&gt;"", Data!G5&gt;20000), AND(Data!G6&lt;&gt;"", Data!G6&gt;20000), AND(Data!G7&lt;&gt;"", Data!G7&gt;20000), AND(Data!G8&lt;&gt;"", Data!G8&gt;20000),AND(Data!G9&lt;&gt;"", Data!G9&gt;20000), AND(Data!G10&lt;&gt;"", Data!G10&gt;20000), AND(Data!G11&lt;&gt;"", Data!G11&gt;20000), AND(Data!G12&lt;&gt;"", Data!G12&gt;20000), AND(Data!G13&lt;&gt;"", Data!G13&gt;20000), AND(Data!G14&lt;&gt;"", Data!G14&gt;20000)),"Applies","")</f>
        <v/>
      </c>
      <c r="C2" s="17" t="str">
        <f>IF(B2="Applies", A2, "")</f>
        <v/>
      </c>
    </row>
    <row r="3" spans="1:5" x14ac:dyDescent="0.2">
      <c r="A3" s="17" t="s">
        <v>133</v>
      </c>
      <c r="B3" s="20" t="str">
        <f>IF(SUM(Data!G2:G14)&gt;129000,"Applies","")</f>
        <v/>
      </c>
      <c r="C3" s="17" t="str">
        <f t="shared" ref="C3:C15" si="0">IF(B3="Applies", A3, "")</f>
        <v/>
      </c>
    </row>
    <row r="4" spans="1:5" x14ac:dyDescent="0.2">
      <c r="A4" s="17" t="s">
        <v>120</v>
      </c>
      <c r="B4" s="20" t="str">
        <f>IF(OR(AND(Data!D2&lt;&gt;"",Data!D2&lt;=96,SUM(Data!G2:G3)&gt;34000),AND(Data!D3&lt;&gt;"",Data!D3&lt;=96,SUM(Data!G3:G4)&gt;34000),AND(Data!D4&lt;&gt;"",Data!D4&lt;=96,SUM(Data!G4:G5)&gt;34000),AND(Data!D5&lt;&gt;"",Data!D5&lt;=96,SUM(Data!G5:G6)&gt;34000),AND(Data!D6&lt;&gt;"",Data!D6&lt;=96,SUM(Data!G6:G7)&gt;34000),AND(Data!D7&lt;&gt;"",Data!D7&lt;=96,SUM(Data!G7:G8)&gt;34000),AND(Data!D8&lt;&gt;"",Data!D8&lt;=96,SUM(Data!G8:G9)&gt;34000),AND(Data!D9&lt;&gt;"",Data!D9&lt;=96,SUM(Data!G9:G10)&gt;34000),AND(Data!D10&lt;&gt;"",Data!D10&lt;=96,SUM(Data!G10:G11)&gt;34000),AND(Data!D11&lt;&gt;"",Data!D11&lt;=96,SUM(Data!G11:G12)&gt;34000),AND(Data!D12&lt;&gt;"",Data!D12&lt;=96,SUM(Data!G12:G13)&gt;34000),AND(Data!D13&lt;&gt;"",Data!D13&lt;=96,SUM(Data!G13:G14)&gt;34000)),"Applies","")</f>
        <v/>
      </c>
      <c r="C4" s="17" t="str">
        <f t="shared" si="0"/>
        <v/>
      </c>
    </row>
    <row r="5" spans="1:5" x14ac:dyDescent="0.2">
      <c r="A5" s="17" t="s">
        <v>121</v>
      </c>
      <c r="B5" s="20" t="str">
        <f>IF(OR(AND(Data!D2&lt;&gt;"", Data!D3&lt;&gt;"", SUM(Data!D2:D3)&lt;=96,SUM(Data!G2:G4)&gt;34000),AND(Data!D3&lt;&gt;"", Data!D4&lt;&gt;"", SUM(Data!D3:D4)&lt;=96,SUM(Data!G3:G5)&gt;34000),AND(Data!D4&lt;&gt;"", Data!D5&lt;&gt;"", SUM(Data!D4:D5)&lt;=96,SUM(Data!G4:G6)&gt;34000),AND(Data!D5&lt;&gt;"", Data!D6&lt;&gt;"", SUM(Data!D5:D6)&lt;=96,SUM(Data!G5:G7)&gt;34000),AND(Data!D6&lt;&gt;"", Data!D7&lt;&gt;"", SUM(Data!D6:D7)&lt;=96,SUM(Data!G6:G8)&gt;34000),AND(Data!D7&lt;&gt;"", Data!D8&lt;&gt;"", SUM(Data!D7:D8)&lt;=96,SUM(Data!G7:G9)&gt;34000),AND(Data!D8&lt;&gt;"", Data!D9&lt;&gt;"", SUM(Data!D8:D9)&lt;=96,SUM(Data!G8:G10)&gt;34000),AND(Data!D9&lt;&gt;"", Data!D10&lt;&gt;"", SUM(Data!D9:D10)&lt;=96,SUM(Data!G9:G11)&gt;34000),AND(Data!D10&lt;&gt;"", Data!D11&lt;&gt;"", SUM(Data!D10:D11)&lt;=96,SUM(Data!G10:G12)&gt;34000),AND(Data!D11&lt;&gt;"", Data!D12&lt;&gt;"", SUM(Data!D11:D12)&lt;=96,SUM(Data!G11:G13)&gt;34000),AND(Data!D12&lt;&gt;"", Data!D13&lt;&gt;"", SUM(Data!D12:D13)&lt;=96,SUM(Data!G12:G14)&gt;34000)),"Applies","")</f>
        <v/>
      </c>
      <c r="C5" s="17" t="str">
        <f t="shared" si="0"/>
        <v/>
      </c>
    </row>
    <row r="6" spans="1:5" x14ac:dyDescent="0.2">
      <c r="A6" s="17" t="s">
        <v>122</v>
      </c>
      <c r="B6" s="20" t="str">
        <f>IF((OR(AND(Data!D2&lt;&gt;"", Data!D3&lt;&gt;"", Data!D4&lt;&gt;"",SUM(Data!D2:D4)&lt;=137,SUM(Data!G2:G5)&gt;44000),AND(Data!D3&lt;&gt;"", Data!D4&lt;&gt;"", Data!D5&lt;&gt;"",SUM(Data!D3:D5)&lt;=137,SUM(Data!G3:G6)&gt;44000),AND(Data!D4&lt;&gt;"", Data!D5&lt;&gt;"", Data!D6&lt;&gt;"",SUM(Data!D4:D6)&lt;=137,SUM(Data!G4:G7)&gt;44000),AND(Data!D5&lt;&gt;"", Data!D6&lt;&gt;"", Data!D7&lt;&gt;"",SUM(Data!D5:D7)&lt;=137,SUM(Data!G5:G8)&gt;44000),AND(Data!D6&lt;&gt;"", Data!D7&lt;&gt;"", Data!D8&lt;&gt;"",SUM(Data!D6:D8)&lt;=137,SUM(Data!G6:G9)&gt;44000),AND(Data!D7&lt;&gt;"", Data!D8&lt;&gt;"", Data!D9&lt;&gt;"",SUM(Data!D7:D9)&lt;=137,SUM(Data!G7:G10)&gt;44000),AND(Data!D8&lt;&gt;"", Data!D9&lt;&gt;"", Data!D10&lt;&gt;"",SUM(Data!D8:D10)&lt;=137,SUM(Data!G8:G11)&gt;44000),AND(Data!D9&lt;&gt;"", Data!D10&lt;&gt;"", Data!D11&lt;&gt;"",SUM(Data!D9:D11)&lt;=137,SUM(Data!G9:G12)&gt;44000),AND(Data!D10&lt;&gt;"", Data!D11&lt;&gt;"", Data!D12&lt;&gt;"",SUM(Data!D10:D12)&lt;=137,SUM(Data!G10:G13)&gt;44000),AND(Data!D11&lt;&gt;"", Data!D12&lt;&gt;"", Data!D13&lt;&gt;"",SUM(Data!D11:D13)&lt;=137,SUM(Data!G11:G14)&gt;44000))), "Applies", "")</f>
        <v/>
      </c>
      <c r="C6" s="17" t="str">
        <f t="shared" si="0"/>
        <v/>
      </c>
    </row>
    <row r="7" spans="1:5" x14ac:dyDescent="0.2">
      <c r="A7" s="17" t="s">
        <v>123</v>
      </c>
      <c r="B7" s="20" t="str">
        <f>IF(OR(AND(Data!D2&lt;&gt;"", Data!D3&lt;&gt;"", Data!D4&lt;&gt;"", Data!D5&lt;&gt;"",SUM(Data!D2:D5)&lt;=185,SUM(Data!G2:G6)&gt;52000),AND(Data!D3&lt;&gt;"", Data!D4&lt;&gt;"", Data!D5&lt;&gt;"", Data!D6&lt;&gt;"",SUM(Data!D3:D6)&lt;=185,SUM(Data!G3:G7)&gt;52000),AND(Data!D4&lt;&gt;"", Data!D5&lt;&gt;"", Data!D6&lt;&gt;"", Data!D7&lt;&gt;"",SUM(Data!D4:D7)&lt;=185,SUM(Data!G4:G8)&gt;52000),AND(Data!D5&lt;&gt;"", Data!D6&lt;&gt;"", Data!D7&lt;&gt;"", Data!D8&lt;&gt;"",SUM(Data!D5:D8)&lt;=185,SUM(Data!G5:G9)&gt;52000),AND(Data!D6&lt;&gt;"", Data!D7&lt;&gt;"", Data!D8&lt;&gt;"", Data!D9&lt;&gt;"",SUM(Data!D6:D9)&lt;=185,SUM(Data!G6:G10)&gt;52000),AND(Data!D7&lt;&gt;"", Data!D8&lt;&gt;"", Data!D9&lt;&gt;"", Data!D10&lt;&gt;"",SUM(Data!D7:D10)&lt;=185,SUM(Data!G7:G11)&gt;52000),AND(Data!D8&lt;&gt;"", Data!D9&lt;&gt;"", Data!D10&lt;&gt;"", Data!D11&lt;&gt;"",SUM(Data!D8:D11)&lt;=185,SUM(Data!G8:G12)&gt;52000),AND(Data!D9&lt;&gt;"", Data!D10&lt;&gt;"", Data!D11&lt;&gt;"", Data!D12&lt;&gt;"",SUM(Data!D9:D12)&lt;=185,SUM(Data!G9:G13)&gt;52000),AND(Data!D10&lt;&gt;"", Data!D11&lt;&gt;"", Data!D12&lt;&gt;"", Data!D13&lt;&gt;"",SUM(Data!D10:D13)&lt;=185,SUM(Data!G10:G14)&gt;52000)), "Applies", "")</f>
        <v/>
      </c>
      <c r="C7" s="17" t="str">
        <f t="shared" si="0"/>
        <v/>
      </c>
    </row>
    <row r="8" spans="1:5" x14ac:dyDescent="0.2">
      <c r="A8" s="17" t="s">
        <v>124</v>
      </c>
      <c r="B8" s="20" t="str">
        <f>IF(OR(AND(Data!D2&lt;&gt;"", Data!D3&lt;&gt;"", Data!D4&lt;&gt;"", Data!D5&lt;&gt;"", Data!D6&lt;&gt;"",SUM(Data!D2:D6)&lt;=233,SUM(Data!G2:G7)&gt;60000),AND(Data!D3&lt;&gt;"", Data!D4&lt;&gt;"", Data!D5&lt;&gt;"", Data!D6&lt;&gt;"", Data!D7&lt;&gt;"",SUM(Data!D3:D7)&lt;=233,SUM(Data!G3:G8)&gt;60000),AND(Data!D4&lt;&gt;"", Data!D5&lt;&gt;"", Data!D6&lt;&gt;"", Data!D7&lt;&gt;"", Data!D8&lt;&gt;"",SUM(Data!D4:D8)&lt;=233,SUM(Data!G4:G9)&gt;60000),AND(Data!D5&lt;&gt;"", Data!D6&lt;&gt;"", Data!D7&lt;&gt;"", Data!D8&lt;&gt;"", Data!D9&lt;&gt;"",SUM(Data!D5:D9)&lt;=233,SUM(Data!G5:G10)&gt;60000),AND(Data!D6&lt;&gt;"", Data!D7&lt;&gt;"", Data!D8&lt;&gt;"", Data!D9&lt;&gt;"", Data!D10&lt;&gt;"",SUM(Data!D6:D10)&lt;=233,SUM(Data!G6:G11)&gt;60000),AND(Data!D7&lt;&gt;"", Data!D8&lt;&gt;"", Data!D9&lt;&gt;"", Data!D10&lt;&gt;"", Data!D11&lt;&gt;"",SUM(Data!D7:D11)&lt;=233,SUM(Data!G7:G12)&gt;60000),AND(Data!D8&lt;&gt;"", Data!D9&lt;&gt;"", Data!D10&lt;&gt;"", Data!D11&lt;&gt;"", Data!D12&lt;&gt;"",SUM(Data!D8:D12)&lt;=233,SUM(Data!G8:G13)&gt;60000),AND(Data!D9&lt;&gt;"", Data!D10&lt;&gt;"", Data!D11&lt;&gt;"", Data!D12&lt;&gt;"", Data!D13&lt;&gt;"",SUM(Data!D9:D13)&lt;=233,SUM(Data!G9:G14)&gt;60000)),"Applies", "")</f>
        <v/>
      </c>
      <c r="C8" s="17" t="str">
        <f t="shared" si="0"/>
        <v/>
      </c>
    </row>
    <row r="9" spans="1:5" x14ac:dyDescent="0.2">
      <c r="A9" s="17" t="s">
        <v>125</v>
      </c>
      <c r="B9" s="20" t="str">
        <f>IF(OR(AND(Data!D2&lt;&gt;"", Data!D3&lt;&gt;"", Data!D4&lt;&gt;"", Data!D5&lt;&gt;"", Data!D6&lt;&gt;"", Data!D7&lt;&gt;"",SUM(Data!D2:D7)&lt;=281,SUM(Data!G2:G8)&gt;68000),AND(Data!D3&lt;&gt;"", Data!D4&lt;&gt;"", Data!D5&lt;&gt;"", Data!D6&lt;&gt;"", Data!D7&lt;&gt;"", Data!D8&lt;&gt;"",SUM(Data!D3:D8)&lt;=281,SUM(Data!G3:G9)&gt;68000),AND(Data!D4&lt;&gt;"", Data!D5&lt;&gt;"", Data!D6&lt;&gt;"", Data!D7&lt;&gt;"", Data!D8&lt;&gt;"", Data!D9&lt;&gt;"",SUM(Data!D4:D9)&lt;=281,SUM(Data!G4:G10)&gt;68000),AND(Data!D5&lt;&gt;"", Data!D6&lt;&gt;"", Data!D7&lt;&gt;"", Data!D8&lt;&gt;"", Data!D9&lt;&gt;"", Data!D10&lt;&gt;"",SUM(Data!D5:D10)&lt;=281,SUM(Data!G5:G11)&gt;68000),AND(Data!D6&lt;&gt;"", Data!D7&lt;&gt;"", Data!D8&lt;&gt;"", Data!D9&lt;&gt;"", Data!D10&lt;&gt;"", Data!D11&lt;&gt;"",SUM(Data!D6:D11)&lt;=281,SUM(Data!G6:G12)&gt;68000),AND(Data!D7&lt;&gt;"", Data!D8&lt;&gt;"", Data!D9&lt;&gt;"", Data!D10&lt;&gt;"", Data!D11&lt;&gt;"", Data!D12&lt;&gt;"",SUM(Data!D7:D12)&lt;=281,SUM(Data!G7:G13)&gt;68000),AND(Data!D8&lt;&gt;"", Data!D9&lt;&gt;"", Data!D10&lt;&gt;"", Data!D11&lt;&gt;"", Data!D12&lt;&gt;"", Data!D13&lt;&gt;"",SUM(Data!D8:D13)&lt;=281,SUM(Data!G8:G14)&gt;68000)),"Applies","")</f>
        <v/>
      </c>
      <c r="C9" s="17" t="str">
        <f t="shared" si="0"/>
        <v/>
      </c>
    </row>
    <row r="10" spans="1:5" x14ac:dyDescent="0.2">
      <c r="A10" s="17" t="s">
        <v>126</v>
      </c>
      <c r="B10" s="20" t="str">
        <f>IF(OR(AND(Data!D2&lt;&gt;"", Data!D3&lt;&gt;"", Data!D4&lt;&gt;"", Data!D5&lt;&gt;"", Data!D6&lt;&gt;"", Data!D7&lt;&gt;"", Data!D8&lt;&gt;"",SUM(Data!D2:D8)&lt;=329,SUM(Data!G2:G9)&gt;75500),AND(Data!D3&lt;&gt;"", Data!D4&lt;&gt;"", Data!D5&lt;&gt;"", Data!D6&lt;&gt;"", Data!D7&lt;&gt;"", Data!D8&lt;&gt;"", Data!D9&lt;&gt;"", SUM(Data!D3:D9)&lt;=329,SUM(Data!G3:G10)&gt;75500),AND(Data!D4&lt;&gt;"", Data!D5&lt;&gt;"", Data!D6&lt;&gt;"", Data!D7&lt;&gt;"", Data!D8&lt;&gt;"", Data!D9&lt;&gt;"", Data!D10&lt;&gt;"", SUM(Data!D4:D10)&lt;=329,SUM(Data!G4:G11)&gt;75500),AND(Data!D5&lt;&gt;"", Data!D6&lt;&gt;"", Data!D7&lt;&gt;"", Data!D8&lt;&gt;"", Data!D9&lt;&gt;"", Data!D10&lt;&gt;"", Data!D11&lt;&gt;"", SUM(Data!D5:D11)&lt;=329,SUM(Data!G5:G12)&gt;75500),AND(Data!D6&lt;&gt;"", Data!D7&lt;&gt;"", Data!D8&lt;&gt;"", Data!D9&lt;&gt;"", Data!D10&lt;&gt;"", Data!D11&lt;&gt;"", Data!D12&lt;&gt;"",SUM(Data!D6:D12)&lt;=329,SUM(Data!G6:G13)&gt;75500),AND(Data!D7&lt;&gt;"", Data!D8&lt;&gt;"", Data!D9&lt;&gt;"", Data!D10&lt;&gt;"", Data!D11&lt;&gt;"", Data!D12&lt;&gt;"", Data!D13&lt;&gt;"",SUM(Data!D7:D13)&lt;=329,SUM(Data!G7:G14)&gt;75500)),"Applies","")</f>
        <v/>
      </c>
      <c r="C10" s="17" t="str">
        <f t="shared" si="0"/>
        <v/>
      </c>
    </row>
    <row r="11" spans="1:5" x14ac:dyDescent="0.2">
      <c r="A11" s="17" t="s">
        <v>127</v>
      </c>
      <c r="B11" s="20" t="str">
        <f>IF(OR(AND(Data!D2&lt;&gt;"", Data!D3&lt;&gt;"", Data!D4&lt;&gt;"", Data!D5&lt;&gt;"", Data!D6&lt;&gt;"", Data!D7&lt;&gt;"", Data!D8&lt;&gt;"", Data!D9&lt;&gt;"", SUM(Data!D2:D9)&lt;=377,SUM(Data!G2:G10)&gt;83500),AND(Data!D3&lt;&gt;"", Data!D4&lt;&gt;"", Data!D5&lt;&gt;"", Data!D6&lt;&gt;"", Data!D7&lt;&gt;"", Data!D8&lt;&gt;"", Data!D9&lt;&gt;"", Data!D10&lt;&gt;"",SUM(Data!D3:D10)&lt;=377,SUM(Data!G3:G11)&gt;83500),AND(Data!D4&lt;&gt;"", Data!D5&lt;&gt;"", Data!D6&lt;&gt;"", Data!D7&lt;&gt;"", Data!D8&lt;&gt;"", Data!D9&lt;&gt;"", Data!D10&lt;&gt;"", Data!D11&lt;&gt;"",SUM(Data!D4:D11)&lt;=377,SUM(Data!G4:G12)&gt;83500),AND(Data!D5&lt;&gt;"", Data!D6&lt;&gt;"", Data!D7&lt;&gt;"", Data!D8&lt;&gt;"", Data!D9&lt;&gt;"", Data!D10&lt;&gt;"", Data!D11&lt;&gt;"", Data!D12&lt;&gt;"",SUM(Data!D5:D12)&lt;=377,SUM(Data!G5:G13)&gt;83500),AND(Data!D6&lt;&gt;"", Data!D7&lt;&gt;"", Data!D8&lt;&gt;"", Data!D9&lt;&gt;"", Data!D10&lt;&gt;"", Data!D11&lt;&gt;"", Data!D12&lt;&gt;"", Data!D13&lt;&gt;"",SUM(Data!D6:D13)&lt;=377,SUM(Data!G6:G14)&gt;83500)),"Applies","")</f>
        <v/>
      </c>
      <c r="C11" s="17" t="str">
        <f t="shared" si="0"/>
        <v/>
      </c>
    </row>
    <row r="12" spans="1:5" x14ac:dyDescent="0.2">
      <c r="A12" s="17" t="s">
        <v>128</v>
      </c>
      <c r="B12" s="20" t="str">
        <f>IF(OR(AND(Data!D2&lt;&gt;"", Data!D3&lt;&gt;"", Data!D4&lt;&gt;"", Data!D5&lt;&gt;"", Data!D6&lt;&gt;"", Data!D7&lt;&gt;"", Data!D8&lt;&gt;"", Data!D9&lt;&gt;"", Data!D10&lt;&gt;"",SUM(Data!D2:D10)&lt;=425,SUM(Data!G2:G11)&gt;90000),AND(Data!D3&lt;&gt;"", Data!D4&lt;&gt;"", Data!D5&lt;&gt;"", Data!D6&lt;&gt;"", Data!D7&lt;&gt;"", Data!D8&lt;&gt;"", Data!D9&lt;&gt;"", Data!D10&lt;&gt;"", Data!D11&lt;&gt;"", SUM(Data!D3:D11)&lt;=425,SUM(Data!G3:G12)&gt;90000),AND(Data!D4&lt;&gt;"", Data!D5&lt;&gt;"", Data!D6&lt;&gt;"", Data!D7&lt;&gt;"", Data!D8&lt;&gt;"", Data!D9&lt;&gt;"", Data!D10&lt;&gt;"", Data!D11&lt;&gt;"", Data!D12&lt;&gt;"", SUM(Data!D4:D12)&lt;=425,SUM(Data!G4:G13)&gt;90000),AND(Data!D5&lt;&gt;"", Data!D6&lt;&gt;"", Data!D7&lt;&gt;"", Data!D8&lt;&gt;"", Data!D9&lt;&gt;"", Data!D10&lt;&gt;"", Data!D11&lt;&gt;"", Data!D12&lt;&gt;"", Data!D13&lt;&gt;"", SUM(Data!D5:D13)&lt;=425,SUM(Data!G5:G14)&gt;90000)),"Applies","")</f>
        <v/>
      </c>
      <c r="C12" s="17" t="str">
        <f t="shared" si="0"/>
        <v/>
      </c>
    </row>
    <row r="13" spans="1:5" x14ac:dyDescent="0.2">
      <c r="A13" s="17" t="s">
        <v>129</v>
      </c>
      <c r="B13" s="20" t="str">
        <f>IF(OR(AND(Data!D2&lt;&gt;"", Data!D3&lt;&gt;"", Data!D4&lt;&gt;"", Data!D5&lt;&gt;"", Data!D6&lt;&gt;"", Data!D7&lt;&gt;"", Data!D8&lt;&gt;"", Data!D9&lt;&gt;"", Data!D10&lt;&gt;"", Data!D11&lt;&gt;"", SUM(Data!D2:D11)&lt;=473,SUM(Data!G2:G12)&gt;99500),AND(Data!D3&lt;&gt;"", Data!D4&lt;&gt;"", Data!D5&lt;&gt;"", Data!D6&lt;&gt;"", Data!D7&lt;&gt;"", Data!D8&lt;&gt;"", Data!D9&lt;&gt;"", Data!D10&lt;&gt;"", Data!D11&lt;&gt;"", Data!D12&lt;&gt;"", SUM(Data!D3:D12)&lt;=473,SUM(Data!G3:G13)&gt;99500),AND(Data!D4&lt;&gt;"", Data!D5&lt;&gt;"", Data!D6&lt;&gt;"", Data!D7&lt;&gt;"", Data!D8&lt;&gt;"", Data!D9&lt;&gt;"", Data!D10&lt;&gt;"", Data!D11&lt;&gt;"", Data!D12&lt;&gt;"", Data!D13&lt;&gt;"", SUM(Data!D4:D13)&lt;=473,SUM(Data!G4:G14)&gt;99500)),"Applies","")</f>
        <v/>
      </c>
      <c r="C13" s="17" t="str">
        <f t="shared" si="0"/>
        <v/>
      </c>
    </row>
    <row r="14" spans="1:5" x14ac:dyDescent="0.2">
      <c r="A14" s="17" t="s">
        <v>130</v>
      </c>
      <c r="B14" s="20" t="str">
        <f>IF(OR(AND(Data!D2&lt;&gt;"", Data!D3&lt;&gt;"", Data!D4&lt;&gt;"", Data!D5&lt;&gt;"", Data!D6&lt;&gt;"", Data!D7&lt;&gt;"", Data!D8&lt;&gt;"", Data!D9&lt;&gt;"", Data!D10&lt;&gt;"", Data!D11&lt;&gt;"", Data!D12&lt;&gt;"", SUM(Data!D2:D12)&lt;=521,SUM(Data!G2:G13)&gt;109000),AND(Data!D3&lt;&gt;"", Data!D4&lt;&gt;"", Data!D5&lt;&gt;"", Data!D6&lt;&gt;"", Data!D7&lt;&gt;"", Data!D8&lt;&gt;"", Data!D9&lt;&gt;"", Data!D10&lt;&gt;"", Data!D11&lt;&gt;"", Data!D12&lt;&gt;"", Data!D13&lt;&gt;"", SUM(Data!D3:D13)&lt;=521,SUM(Data!G3:G14)&gt;109000)),"Applies","")</f>
        <v/>
      </c>
      <c r="C14" s="17" t="str">
        <f t="shared" si="0"/>
        <v/>
      </c>
    </row>
    <row r="15" spans="1:5" x14ac:dyDescent="0.2">
      <c r="A15" s="17" t="s">
        <v>131</v>
      </c>
      <c r="B15" s="20" t="str">
        <f>IF(OR(AND(Data!D2&lt;&gt;"", Data!D3&lt;&gt;"", Data!D4&lt;&gt;"", Data!D5&lt;&gt;"", Data!D6&lt;&gt;"", Data!D7&lt;&gt;"", Data!D8&lt;&gt;"", Data!D9&lt;&gt;"", Data!D10&lt;&gt;"", Data!D11&lt;&gt;"", Data!D12&lt;&gt;"", Data!D13&lt;&gt;"", SUM(Data!D2:D13)&lt;=570,SUM(Data!G2:G14)&gt;115500)),"Applies","")</f>
        <v/>
      </c>
      <c r="C15" s="17" t="str">
        <f t="shared" si="0"/>
        <v/>
      </c>
    </row>
    <row r="16" spans="1:5" ht="180.75" customHeight="1" x14ac:dyDescent="0.2">
      <c r="B16" s="23">
        <f>COUNTIF(B2:B15, "Applies")</f>
        <v>0</v>
      </c>
      <c r="C16" s="22" t="str">
        <f>CONCATENATE(C2&amp;CHAR(10),C3&amp;CHAR(10),C4&amp;CHAR(10),C5&amp;CHAR(10),C6&amp;CHAR(10),C7&amp;CHAR(10),C8&amp;CHAR(10),C9&amp;CHAR(10),C10&amp;CHAR(10),C11&amp;CHAR(10),C12&amp;CHAR(10),C13&amp;CHAR(10),C14&amp;CHAR(10),C15&amp;CHAR(10))</f>
        <v xml:space="preserve">
</v>
      </c>
      <c r="E16" s="40" t="s">
        <v>152</v>
      </c>
    </row>
  </sheetData>
  <sheetProtection sheet="1" objects="1" scenarios="1"/>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P39"/>
  <sheetViews>
    <sheetView zoomScale="90" zoomScaleNormal="90" workbookViewId="0">
      <selection activeCell="E18" sqref="E18"/>
    </sheetView>
  </sheetViews>
  <sheetFormatPr defaultRowHeight="12.75" x14ac:dyDescent="0.2"/>
  <cols>
    <col min="1" max="1" width="13" style="14" customWidth="1"/>
    <col min="2" max="8" width="18.42578125" style="14" customWidth="1"/>
    <col min="9" max="9" width="11.140625" style="14" customWidth="1"/>
    <col min="10" max="11" width="14.28515625" style="14" customWidth="1"/>
    <col min="12" max="12" width="19.42578125" style="14" customWidth="1"/>
    <col min="13" max="13" width="9.140625" style="14"/>
    <col min="14" max="15" width="14.28515625" style="14" customWidth="1"/>
    <col min="16" max="16" width="19.42578125" style="14" customWidth="1"/>
    <col min="17" max="16384" width="9.140625" style="14"/>
  </cols>
  <sheetData>
    <row r="1" spans="1:16" x14ac:dyDescent="0.2">
      <c r="J1" s="97" t="s">
        <v>191</v>
      </c>
      <c r="K1" s="98"/>
      <c r="L1" s="99"/>
    </row>
    <row r="2" spans="1:16" ht="24" x14ac:dyDescent="0.2">
      <c r="A2" s="1"/>
      <c r="B2" s="9" t="s">
        <v>4</v>
      </c>
      <c r="C2" s="9" t="s">
        <v>5</v>
      </c>
      <c r="D2" s="9" t="s">
        <v>138</v>
      </c>
      <c r="E2" s="9" t="s">
        <v>137</v>
      </c>
      <c r="F2" s="9" t="s">
        <v>146</v>
      </c>
      <c r="G2" s="9" t="s">
        <v>147</v>
      </c>
      <c r="H2" s="9" t="s">
        <v>190</v>
      </c>
      <c r="J2" s="9" t="s">
        <v>167</v>
      </c>
      <c r="K2" s="9" t="s">
        <v>166</v>
      </c>
      <c r="L2" s="9" t="s">
        <v>168</v>
      </c>
    </row>
    <row r="3" spans="1:16" x14ac:dyDescent="0.2">
      <c r="A3" s="2" t="s">
        <v>10</v>
      </c>
      <c r="B3" s="3" t="str">
        <f>IF('Weights by Axle'!D2="", "", 'Weights by Axle'!D2)</f>
        <v/>
      </c>
      <c r="C3" s="3" t="str">
        <f>IF('Weights by Axle'!E2="", "", 'Weights by Axle'!E2)</f>
        <v/>
      </c>
      <c r="D3" s="4" t="str">
        <f>IF(AND(B3&lt;&gt;"",C3=""),"ERROR","Okay")</f>
        <v>Okay</v>
      </c>
      <c r="E3" s="4" t="str">
        <f>IF(AND(C3&lt;&gt;"",B3=""),"ERROR","Okay")</f>
        <v>Okay</v>
      </c>
      <c r="F3" s="34" t="str">
        <f>IF(AND(B18&lt;&gt;"",B19&lt;&gt;"",B3=""), "ERROR", "Okay")</f>
        <v>Okay</v>
      </c>
      <c r="G3" s="34" t="str">
        <f>IF(AND(B18&lt;&gt;"",B19&lt;&gt;"",C3=""), "ERROR", "Okay")</f>
        <v>Okay</v>
      </c>
      <c r="H3" s="51" t="str">
        <f>IF(OR(AND(OR(B4&lt;&gt;"",B5&lt;&gt;"", B6&lt;&gt;"",B7&lt;&gt;"",B8&lt;&gt;"",B9&lt;&gt;"",B10&lt;&gt;"",B11&lt;&gt;"",B12&lt;&gt;"",B13&lt;&gt;"",B14&lt;&gt;""),B3=""), AND(OR(C4&lt;&gt;"", C5&lt;&gt;"",C6&lt;&gt;"",C7&lt;&gt;"",C8&lt;&gt;"",C9&lt;&gt;"",C10&lt;&gt;"",C11&lt;&gt;"",C12&lt;&gt;"",C13&lt;&gt;"",C14&lt;&gt;""),C3="")), "ERROR", "Okay")</f>
        <v>Okay</v>
      </c>
      <c r="J3" s="48" t="s">
        <v>154</v>
      </c>
      <c r="K3" s="47">
        <f>COUNTIF(D3:H3, "ERROR")</f>
        <v>0</v>
      </c>
      <c r="L3" s="49" t="str">
        <f>IF(K3&gt;0,IF(OR(K4&gt;0, K5&gt;0,K6&gt;0,K7&gt;0,K8&gt;0,K9&gt;0,K10&gt;0,K11&gt;0,K12&gt;0,K13&gt;0,K14&gt;0),CONCATENATE(J3,", "),J3),"")</f>
        <v/>
      </c>
    </row>
    <row r="4" spans="1:16" x14ac:dyDescent="0.2">
      <c r="A4" s="2" t="s">
        <v>22</v>
      </c>
      <c r="B4" s="3" t="str">
        <f>IF('Weights by Axle'!H2="", "", 'Weights by Axle'!H2)</f>
        <v/>
      </c>
      <c r="C4" s="3" t="str">
        <f>IF('Weights by Axle'!I2="", "", 'Weights by Axle'!I2)</f>
        <v/>
      </c>
      <c r="D4" s="4" t="str">
        <f t="shared" ref="D4:D14" si="0">IF(AND(B4&lt;&gt;"",C4=""),"ERROR","Okay")</f>
        <v>Okay</v>
      </c>
      <c r="E4" s="4" t="str">
        <f t="shared" ref="E4:E14" si="1">IF(AND(C4&lt;&gt;"",B4=""),"ERROR","Okay")</f>
        <v>Okay</v>
      </c>
      <c r="F4" s="34" t="str">
        <f t="shared" ref="F4:F14" si="2">IF(AND(B19&lt;&gt;"",B20&lt;&gt;"",B4=""), "ERROR", "Okay")</f>
        <v>Okay</v>
      </c>
      <c r="G4" s="34" t="str">
        <f t="shared" ref="G4:G14" si="3">IF(AND(B19&lt;&gt;"",B20&lt;&gt;"",C4=""), "ERROR", "Okay")</f>
        <v>Okay</v>
      </c>
      <c r="H4" s="51" t="str">
        <f>IF(OR(AND(OR(B5&lt;&gt;"",B6&lt;&gt;"", B7&lt;&gt;"",B8&lt;&gt;"",B9&lt;&gt;"",B10&lt;&gt;"",B11&lt;&gt;"",B12&lt;&gt;"",B13&lt;&gt;"",B14&lt;&gt;""),B4=""), AND(OR(C5&lt;&gt;"", C6&lt;&gt;"",C7&lt;&gt;"",C8&lt;&gt;"",C9&lt;&gt;"",C10&lt;&gt;"",C11&lt;&gt;"",C12&lt;&gt;"",C13&lt;&gt;"",C14&lt;&gt;""),C4="")), "ERROR", "Okay")</f>
        <v>Okay</v>
      </c>
      <c r="J4" s="48" t="s">
        <v>155</v>
      </c>
      <c r="K4" s="47">
        <f t="shared" ref="K4:K14" si="4">COUNTIF(D4:H4, "ERROR")</f>
        <v>0</v>
      </c>
      <c r="L4" s="49" t="str">
        <f>IF(K4&gt;0,IF(OR(K5&gt;0, K6&gt;0,K7&gt;0,K8&gt;0,K9&gt;0,K10&gt;0,K11&gt;0,K12&gt;0,K13&gt;0,K14&gt;0),CONCATENATE(J4,", "),J4),"")</f>
        <v/>
      </c>
    </row>
    <row r="5" spans="1:16" x14ac:dyDescent="0.2">
      <c r="A5" s="2" t="s">
        <v>23</v>
      </c>
      <c r="B5" s="3" t="str">
        <f>IF('Weights by Axle'!L2="", "", 'Weights by Axle'!L2)</f>
        <v/>
      </c>
      <c r="C5" s="3" t="str">
        <f>IF('Weights by Axle'!M2="", "", 'Weights by Axle'!M2)</f>
        <v/>
      </c>
      <c r="D5" s="4" t="str">
        <f t="shared" si="0"/>
        <v>Okay</v>
      </c>
      <c r="E5" s="4" t="str">
        <f t="shared" si="1"/>
        <v>Okay</v>
      </c>
      <c r="F5" s="34" t="str">
        <f t="shared" si="2"/>
        <v>Okay</v>
      </c>
      <c r="G5" s="34" t="str">
        <f t="shared" si="3"/>
        <v>Okay</v>
      </c>
      <c r="H5" s="51" t="str">
        <f>IF(OR(AND(OR(B6&lt;&gt;"",B7&lt;&gt;"", B8&lt;&gt;"",B9&lt;&gt;"",B10&lt;&gt;"",B11&lt;&gt;"",B12&lt;&gt;"",B13&lt;&gt;"",B14&lt;&gt;""),B5=""), AND(OR(C6&lt;&gt;"", C7&lt;&gt;"",C8&lt;&gt;"",C9&lt;&gt;"",C10&lt;&gt;"",C11&lt;&gt;"",C12&lt;&gt;"",C13&lt;&gt;"",C14&lt;&gt;""),C5="")), "ERROR", "Okay")</f>
        <v>Okay</v>
      </c>
      <c r="J5" s="48" t="s">
        <v>156</v>
      </c>
      <c r="K5" s="47">
        <f t="shared" si="4"/>
        <v>0</v>
      </c>
      <c r="L5" s="49" t="str">
        <f>IF(K5&gt;0,IF(OR(K6&gt;0, K7&gt;0,K8&gt;0,K9&gt;0,K10&gt;0,K11&gt;0,K12&gt;0,K13&gt;0,K14&gt;0),CONCATENATE(J5,", "),J5),"")</f>
        <v/>
      </c>
    </row>
    <row r="6" spans="1:16" x14ac:dyDescent="0.2">
      <c r="A6" s="2" t="s">
        <v>24</v>
      </c>
      <c r="B6" s="3" t="str">
        <f>IF('Weights by Axle'!P2="", "", 'Weights by Axle'!P2)</f>
        <v/>
      </c>
      <c r="C6" s="3" t="str">
        <f>IF('Weights by Axle'!Q2="", "", 'Weights by Axle'!Q2)</f>
        <v/>
      </c>
      <c r="D6" s="4" t="str">
        <f t="shared" si="0"/>
        <v>Okay</v>
      </c>
      <c r="E6" s="4" t="str">
        <f t="shared" si="1"/>
        <v>Okay</v>
      </c>
      <c r="F6" s="34" t="str">
        <f t="shared" si="2"/>
        <v>Okay</v>
      </c>
      <c r="G6" s="34" t="str">
        <f t="shared" si="3"/>
        <v>Okay</v>
      </c>
      <c r="H6" s="51" t="str">
        <f>IF(OR(AND(OR(B7&lt;&gt;"",B8&lt;&gt;"", B9&lt;&gt;"",B10&lt;&gt;"",B11&lt;&gt;"",B12&lt;&gt;"",B13&lt;&gt;"",B14&lt;&gt;""),B6=""), AND(OR(C7&lt;&gt;"", C8&lt;&gt;"",C9&lt;&gt;"",C10&lt;&gt;"",C11&lt;&gt;"",C12&lt;&gt;"",C13&lt;&gt;"",C14&lt;&gt;""),C6="")), "ERROR", "Okay")</f>
        <v>Okay</v>
      </c>
      <c r="J6" s="48" t="s">
        <v>157</v>
      </c>
      <c r="K6" s="47">
        <f t="shared" si="4"/>
        <v>0</v>
      </c>
      <c r="L6" s="49" t="str">
        <f>IF(K6&gt;0,IF(OR(K7&gt;0, K8&gt;0,K9&gt;0,K10&gt;0,K11&gt;0,K12&gt;0,K13&gt;0,K14&gt;0),CONCATENATE(J6,", "),J6),"")</f>
        <v/>
      </c>
    </row>
    <row r="7" spans="1:16" x14ac:dyDescent="0.2">
      <c r="A7" s="2" t="s">
        <v>25</v>
      </c>
      <c r="B7" s="3" t="str">
        <f>IF('Weights by Axle'!T2="", "", 'Weights by Axle'!T2)</f>
        <v/>
      </c>
      <c r="C7" s="3" t="str">
        <f>IF('Weights by Axle'!U2="", "", 'Weights by Axle'!U2)</f>
        <v/>
      </c>
      <c r="D7" s="4" t="str">
        <f t="shared" si="0"/>
        <v>Okay</v>
      </c>
      <c r="E7" s="4" t="str">
        <f t="shared" si="1"/>
        <v>Okay</v>
      </c>
      <c r="F7" s="34" t="str">
        <f t="shared" si="2"/>
        <v>Okay</v>
      </c>
      <c r="G7" s="34" t="str">
        <f t="shared" si="3"/>
        <v>Okay</v>
      </c>
      <c r="H7" s="51" t="str">
        <f>IF(OR(AND(OR(B8&lt;&gt;"",B9&lt;&gt;"", B10&lt;&gt;"",B11&lt;&gt;"",B12&lt;&gt;"",B13&lt;&gt;"",B14&lt;&gt;""),B7=""), AND(OR(C8&lt;&gt;"", C9&lt;&gt;"",C10&lt;&gt;"",C11&lt;&gt;"",C12&lt;&gt;"",C13&lt;&gt;"",C14&lt;&gt;""),C7="")), "ERROR", "Okay")</f>
        <v>Okay</v>
      </c>
      <c r="J7" s="48" t="s">
        <v>158</v>
      </c>
      <c r="K7" s="47">
        <f t="shared" si="4"/>
        <v>0</v>
      </c>
      <c r="L7" s="49" t="str">
        <f>IF(K7&gt;0,IF(OR(K8&gt;0, K9&gt;0,K10&gt;0,K11&gt;0,K12&gt;0,K13&gt;0,K14&gt;0),CONCATENATE(J7,", "),J7),"")</f>
        <v/>
      </c>
    </row>
    <row r="8" spans="1:16" x14ac:dyDescent="0.2">
      <c r="A8" s="2" t="s">
        <v>26</v>
      </c>
      <c r="B8" s="3" t="str">
        <f>IF('Weights by Axle'!X2="", "", 'Weights by Axle'!X2)</f>
        <v/>
      </c>
      <c r="C8" s="3" t="str">
        <f>IF('Weights by Axle'!Y2="", "", 'Weights by Axle'!Y2)</f>
        <v/>
      </c>
      <c r="D8" s="4" t="str">
        <f t="shared" si="0"/>
        <v>Okay</v>
      </c>
      <c r="E8" s="4" t="str">
        <f t="shared" si="1"/>
        <v>Okay</v>
      </c>
      <c r="F8" s="34" t="str">
        <f t="shared" si="2"/>
        <v>Okay</v>
      </c>
      <c r="G8" s="34" t="str">
        <f t="shared" si="3"/>
        <v>Okay</v>
      </c>
      <c r="H8" s="51" t="str">
        <f>IF(OR(AND(OR(B9&lt;&gt;"",B10&lt;&gt;"", B11&lt;&gt;"",B12&lt;&gt;"",B13&lt;&gt;"",B14&lt;&gt;""),B8=""), AND(OR(C9&lt;&gt;"", C10&lt;&gt;"",C11&lt;&gt;"",C12&lt;&gt;"",C13&lt;&gt;"",C14&lt;&gt;""),C8="")), "ERROR", "Okay")</f>
        <v>Okay</v>
      </c>
      <c r="J8" s="48" t="s">
        <v>159</v>
      </c>
      <c r="K8" s="47">
        <f t="shared" si="4"/>
        <v>0</v>
      </c>
      <c r="L8" s="49" t="str">
        <f>IF(K8&gt;0,IF(OR(K9&gt;0, K10&gt;0,K11&gt;0,K12&gt;0,K13&gt;0,K14&gt;0,K15&gt;0),CONCATENATE(J8,", "),J8),"")</f>
        <v/>
      </c>
    </row>
    <row r="9" spans="1:16" x14ac:dyDescent="0.2">
      <c r="A9" s="2" t="s">
        <v>27</v>
      </c>
      <c r="B9" s="3" t="str">
        <f>IF('Weights by Axle'!AB2="", "", 'Weights by Axle'!AB2)</f>
        <v/>
      </c>
      <c r="C9" s="3" t="str">
        <f>IF('Weights by Axle'!AC2="", "", 'Weights by Axle'!AC2)</f>
        <v/>
      </c>
      <c r="D9" s="4" t="str">
        <f t="shared" si="0"/>
        <v>Okay</v>
      </c>
      <c r="E9" s="4" t="str">
        <f t="shared" si="1"/>
        <v>Okay</v>
      </c>
      <c r="F9" s="34" t="str">
        <f t="shared" si="2"/>
        <v>Okay</v>
      </c>
      <c r="G9" s="34" t="str">
        <f t="shared" si="3"/>
        <v>Okay</v>
      </c>
      <c r="H9" s="51" t="str">
        <f>IF(OR(AND(OR(B10&lt;&gt;"",B11&lt;&gt;"", B12&lt;&gt;"",B13&lt;&gt;"",B14&lt;&gt;""),B9=""), AND(OR(C10&lt;&gt;"", C11&lt;&gt;"",C12&lt;&gt;"",C13&lt;&gt;"",C14&lt;&gt;""),C9="")), "ERROR", "Okay")</f>
        <v>Okay</v>
      </c>
      <c r="J9" s="48" t="s">
        <v>160</v>
      </c>
      <c r="K9" s="47">
        <f t="shared" si="4"/>
        <v>0</v>
      </c>
      <c r="L9" s="49" t="str">
        <f>IF(K9&gt;0,IF(OR(K10&gt;0, K11&gt;0,K12&gt;0,K13&gt;0,K14&gt;0),CONCATENATE(J9,", "),J9),"")</f>
        <v/>
      </c>
    </row>
    <row r="10" spans="1:16" x14ac:dyDescent="0.2">
      <c r="A10" s="2" t="s">
        <v>28</v>
      </c>
      <c r="B10" s="3" t="str">
        <f>IF('Weights by Axle'!AF2="", "", 'Weights by Axle'!AF2)</f>
        <v/>
      </c>
      <c r="C10" s="3" t="str">
        <f>IF('Weights by Axle'!AG2="", "", 'Weights by Axle'!AG2)</f>
        <v/>
      </c>
      <c r="D10" s="4" t="str">
        <f t="shared" si="0"/>
        <v>Okay</v>
      </c>
      <c r="E10" s="4" t="str">
        <f t="shared" si="1"/>
        <v>Okay</v>
      </c>
      <c r="F10" s="34" t="str">
        <f t="shared" si="2"/>
        <v>Okay</v>
      </c>
      <c r="G10" s="34" t="str">
        <f t="shared" si="3"/>
        <v>Okay</v>
      </c>
      <c r="H10" s="51" t="str">
        <f>IF(OR(AND(OR(B11&lt;&gt;"",B12&lt;&gt;"", B13&lt;&gt;"",B14&lt;&gt;""),B10=""), AND(OR(C11&lt;&gt;"", C12&lt;&gt;"",C13&lt;&gt;"",C14&lt;&gt;""),C10="")), "ERROR", "Okay")</f>
        <v>Okay</v>
      </c>
      <c r="J10" s="48" t="s">
        <v>161</v>
      </c>
      <c r="K10" s="47">
        <f t="shared" si="4"/>
        <v>0</v>
      </c>
      <c r="L10" s="49" t="str">
        <f>IF(K10&gt;0,IF(OR(K11&gt;0, K12&gt;0,K13&gt;0,K14&gt;0),CONCATENATE(J10,", "),J10),"")</f>
        <v/>
      </c>
    </row>
    <row r="11" spans="1:16" x14ac:dyDescent="0.2">
      <c r="A11" s="2" t="s">
        <v>29</v>
      </c>
      <c r="B11" s="3" t="str">
        <f>IF('Weights by Axle'!AJ2="", "", 'Weights by Axle'!AJ2)</f>
        <v/>
      </c>
      <c r="C11" s="3" t="str">
        <f>IF('Weights by Axle'!AK2="", "", 'Weights by Axle'!AK2)</f>
        <v/>
      </c>
      <c r="D11" s="4" t="str">
        <f t="shared" si="0"/>
        <v>Okay</v>
      </c>
      <c r="E11" s="4" t="str">
        <f t="shared" si="1"/>
        <v>Okay</v>
      </c>
      <c r="F11" s="34" t="str">
        <f t="shared" si="2"/>
        <v>Okay</v>
      </c>
      <c r="G11" s="34" t="str">
        <f t="shared" si="3"/>
        <v>Okay</v>
      </c>
      <c r="H11" s="51" t="str">
        <f>IF(OR(AND(OR(B12&lt;&gt;"",B13&lt;&gt;"", B14&lt;&gt;""),B11=""), AND(OR(C12&lt;&gt;"", C13&lt;&gt;"",C14&lt;&gt;""),C11="")), "ERROR", "Okay")</f>
        <v>Okay</v>
      </c>
      <c r="J11" s="48" t="s">
        <v>162</v>
      </c>
      <c r="K11" s="47">
        <f t="shared" si="4"/>
        <v>0</v>
      </c>
      <c r="L11" s="49" t="str">
        <f>IF(K11&gt;0,IF(OR(K12&gt;0, K13&gt;0,K14&gt;0),CONCATENATE(J11,", "),J11),"")</f>
        <v/>
      </c>
    </row>
    <row r="12" spans="1:16" x14ac:dyDescent="0.2">
      <c r="A12" s="2" t="s">
        <v>30</v>
      </c>
      <c r="B12" s="3" t="str">
        <f>IF('Weights by Axle'!AN2="", "", 'Weights by Axle'!AN2)</f>
        <v/>
      </c>
      <c r="C12" s="3" t="str">
        <f>IF('Weights by Axle'!AO2="", "", 'Weights by Axle'!AO2)</f>
        <v/>
      </c>
      <c r="D12" s="4" t="str">
        <f t="shared" si="0"/>
        <v>Okay</v>
      </c>
      <c r="E12" s="4" t="str">
        <f t="shared" si="1"/>
        <v>Okay</v>
      </c>
      <c r="F12" s="34" t="str">
        <f t="shared" si="2"/>
        <v>Okay</v>
      </c>
      <c r="G12" s="34" t="str">
        <f t="shared" si="3"/>
        <v>Okay</v>
      </c>
      <c r="H12" s="51" t="str">
        <f>IF(OR(AND(OR(B13&lt;&gt;"",B14&lt;&gt;""),B12=""), AND(OR(C13&lt;&gt;"", C14&lt;&gt;""),C12="")), "ERROR", "Okay")</f>
        <v>Okay</v>
      </c>
      <c r="J12" s="48" t="s">
        <v>163</v>
      </c>
      <c r="K12" s="47">
        <f t="shared" si="4"/>
        <v>0</v>
      </c>
      <c r="L12" s="49" t="str">
        <f>IF(K12&gt;0,IF(OR(K13&gt;0, K14&gt;0),CONCATENATE(J12,", "),J12),"")</f>
        <v/>
      </c>
    </row>
    <row r="13" spans="1:16" x14ac:dyDescent="0.2">
      <c r="A13" s="2" t="s">
        <v>31</v>
      </c>
      <c r="B13" s="3" t="str">
        <f>IF('Weights by Axle'!AR2="", "", 'Weights by Axle'!AR2)</f>
        <v/>
      </c>
      <c r="C13" s="3" t="str">
        <f>IF('Weights by Axle'!AS2="", "", 'Weights by Axle'!AS2)</f>
        <v/>
      </c>
      <c r="D13" s="4" t="str">
        <f t="shared" si="0"/>
        <v>Okay</v>
      </c>
      <c r="E13" s="4" t="str">
        <f t="shared" si="1"/>
        <v>Okay</v>
      </c>
      <c r="F13" s="34" t="str">
        <f t="shared" si="2"/>
        <v>Okay</v>
      </c>
      <c r="G13" s="34" t="str">
        <f t="shared" si="3"/>
        <v>Okay</v>
      </c>
      <c r="H13" s="51" t="str">
        <f>IF(OR(AND(B14&lt;&gt;"",B13=""), AND(C14&lt;&gt;"",C13="")), "ERROR", "Okay")</f>
        <v>Okay</v>
      </c>
      <c r="J13" s="48" t="s">
        <v>164</v>
      </c>
      <c r="K13" s="47">
        <f t="shared" si="4"/>
        <v>0</v>
      </c>
      <c r="L13" s="49" t="str">
        <f>IF(K13&gt;0,IF(K14&gt;0,CONCATENATE(J13,", "),J13),"")</f>
        <v/>
      </c>
    </row>
    <row r="14" spans="1:16" x14ac:dyDescent="0.2">
      <c r="A14" s="2" t="s">
        <v>32</v>
      </c>
      <c r="B14" s="3" t="str">
        <f>IF('Weights by Axle'!AV2="", "", 'Weights by Axle'!AV2)</f>
        <v/>
      </c>
      <c r="C14" s="3" t="str">
        <f>IF('Weights by Axle'!AW2="", "", 'Weights by Axle'!AW2)</f>
        <v/>
      </c>
      <c r="D14" s="4" t="str">
        <f t="shared" si="0"/>
        <v>Okay</v>
      </c>
      <c r="E14" s="4" t="str">
        <f t="shared" si="1"/>
        <v>Okay</v>
      </c>
      <c r="F14" s="34" t="str">
        <f t="shared" si="2"/>
        <v>Okay</v>
      </c>
      <c r="G14" s="34" t="str">
        <f t="shared" si="3"/>
        <v>Okay</v>
      </c>
      <c r="H14" s="51"/>
      <c r="J14" s="48" t="s">
        <v>165</v>
      </c>
      <c r="K14" s="47">
        <f t="shared" si="4"/>
        <v>0</v>
      </c>
      <c r="L14" s="49" t="str">
        <f>IF(K14&gt;0,J14,"")</f>
        <v/>
      </c>
    </row>
    <row r="15" spans="1:16" x14ac:dyDescent="0.2">
      <c r="D15" s="35">
        <f>COUNTIF(D3:D14, "ERROR")</f>
        <v>0</v>
      </c>
      <c r="E15" s="35">
        <f t="shared" ref="E15:H15" si="5">COUNTIF(E3:E14, "ERROR")</f>
        <v>0</v>
      </c>
      <c r="F15" s="35">
        <f t="shared" si="5"/>
        <v>0</v>
      </c>
      <c r="G15" s="35">
        <f t="shared" si="5"/>
        <v>0</v>
      </c>
      <c r="H15" s="35">
        <f t="shared" si="5"/>
        <v>0</v>
      </c>
    </row>
    <row r="16" spans="1:16" x14ac:dyDescent="0.2">
      <c r="J16" s="97" t="s">
        <v>193</v>
      </c>
      <c r="K16" s="98"/>
      <c r="L16" s="99"/>
      <c r="N16" s="97" t="s">
        <v>192</v>
      </c>
      <c r="O16" s="98"/>
      <c r="P16" s="99"/>
    </row>
    <row r="17" spans="1:16" ht="24" x14ac:dyDescent="0.2">
      <c r="A17" s="1"/>
      <c r="B17" s="9" t="str">
        <f>Data!G1</f>
        <v>Actual Weight
(Input by User)</v>
      </c>
      <c r="C17" s="9" t="s">
        <v>139</v>
      </c>
      <c r="D17" s="9" t="s">
        <v>140</v>
      </c>
      <c r="E17" s="9" t="s">
        <v>189</v>
      </c>
      <c r="F17" s="9" t="s">
        <v>185</v>
      </c>
      <c r="J17" s="9" t="s">
        <v>186</v>
      </c>
      <c r="K17" s="9" t="s">
        <v>187</v>
      </c>
      <c r="L17" s="9" t="s">
        <v>188</v>
      </c>
      <c r="N17" s="9" t="s">
        <v>186</v>
      </c>
      <c r="O17" s="9" t="s">
        <v>187</v>
      </c>
      <c r="P17" s="9" t="s">
        <v>188</v>
      </c>
    </row>
    <row r="18" spans="1:16" x14ac:dyDescent="0.2">
      <c r="A18" s="2" t="str">
        <f>Data!F2</f>
        <v>Axle 1</v>
      </c>
      <c r="B18" s="15" t="str">
        <f>Data!G2</f>
        <v/>
      </c>
      <c r="C18" s="4" t="str">
        <f>IF(AND(B3&lt;&gt;"",B18=""), "ERROR", "Okay")</f>
        <v>Okay</v>
      </c>
      <c r="D18" s="4" t="str">
        <f>IF(AND(C3&lt;&gt;"",B18=""), "ERROR", "Okay")</f>
        <v>Okay</v>
      </c>
      <c r="E18" s="34" t="str">
        <f>IF(AND(B18="", OR(B19&lt;&gt;"", B20&lt;&gt;"", B21&lt;&gt;"", B22&lt;&gt;"", B23&lt;&gt;"", B24&lt;&gt;"", B25&lt;&gt;"", B26&lt;&gt;"", B27&lt;&gt;"", B28&lt;&gt;"", B29&lt;&gt;"", B30&lt;&gt;"")), "ERROR", "Okay")</f>
        <v>Okay</v>
      </c>
      <c r="F18" s="51" t="str">
        <f>IF(AND(B18&lt;&gt;"",B18&gt;20000), "ERROR", "Okay")</f>
        <v>Okay</v>
      </c>
      <c r="J18" s="48" t="s">
        <v>169</v>
      </c>
      <c r="K18" s="47">
        <f>COUNTIF(C18:E18, "ERROR")</f>
        <v>0</v>
      </c>
      <c r="L18" s="49" t="str">
        <f>IF(K18&gt;0,IF(OR(K19&gt;0, K20&gt;0,K21&gt;0,K22&gt;0,K23&gt;0,K24&gt;0,K25&gt;0,K26&gt;0,K27&gt;0,K28&gt;0,K29&gt;0,K30&gt;0),CONCATENATE(J18,", "),J18),"")</f>
        <v/>
      </c>
      <c r="N18" s="48" t="s">
        <v>169</v>
      </c>
      <c r="O18" s="47">
        <f>COUNTIF(F18, "ERROR")</f>
        <v>0</v>
      </c>
      <c r="P18" s="49" t="str">
        <f>IF(O18&gt;0,IF(OR(O19&gt;0, O20&gt;0,O21&gt;0,O22&gt;0,O23&gt;0,O24&gt;0,O25&gt;0,O26&gt;0,O27&gt;0,O28&gt;0,O29&gt;0,O30&gt;0),CONCATENATE(N18,", "),N18),"")</f>
        <v/>
      </c>
    </row>
    <row r="19" spans="1:16" x14ac:dyDescent="0.2">
      <c r="A19" s="2" t="str">
        <f>Data!F3</f>
        <v>Axle 2</v>
      </c>
      <c r="B19" s="15" t="str">
        <f>Data!G3</f>
        <v/>
      </c>
      <c r="C19" s="4" t="str">
        <f>IF(AND(B3&lt;&gt;"",B19=""), "ERROR", "Okay")</f>
        <v>Okay</v>
      </c>
      <c r="D19" s="4" t="str">
        <f>IF(AND(C3&lt;&gt;"",B19=""), "ERROR", "Okay")</f>
        <v>Okay</v>
      </c>
      <c r="E19" s="34" t="str">
        <f>IF(AND(B19="", OR(B20&lt;&gt;"", B21&lt;&gt;"", B22&lt;&gt;"", B23&lt;&gt;"", B24&lt;&gt;"", B25&lt;&gt;"", B26&lt;&gt;"", B27&lt;&gt;"", B28&lt;&gt;"", B29&lt;&gt;"", B30&lt;&gt;"")), "ERROR", "Okay")</f>
        <v>Okay</v>
      </c>
      <c r="F19" s="51" t="str">
        <f t="shared" ref="F19:F30" si="6">IF(AND(B19&lt;&gt;"",B19&gt;20000), "ERROR", "Okay")</f>
        <v>Okay</v>
      </c>
      <c r="J19" s="48" t="s">
        <v>170</v>
      </c>
      <c r="K19" s="47">
        <f t="shared" ref="K19:K30" si="7">COUNTIF(C19:E19, "ERROR")</f>
        <v>0</v>
      </c>
      <c r="L19" s="49" t="str">
        <f>IF(K19&gt;0,IF(OR(K20&gt;0, K21&gt;0,K22&gt;0,K23&gt;0,K24&gt;0,K25&gt;0,K26&gt;0,K27&gt;0,K28&gt;0,K29&gt;0),CONCATENATE(J19,", "),J19),"")</f>
        <v/>
      </c>
      <c r="N19" s="48" t="s">
        <v>170</v>
      </c>
      <c r="O19" s="47">
        <f t="shared" ref="O19:O30" si="8">COUNTIF(F19, "ERROR")</f>
        <v>0</v>
      </c>
      <c r="P19" s="49" t="str">
        <f>IF(O19&gt;0,IF(OR(O20&gt;0, O21&gt;0,O22&gt;0,O23&gt;0,O24&gt;0,O25&gt;0,O26&gt;0,O27&gt;0,O28&gt;0,O29&gt;0),CONCATENATE(N19,", "),N19),"")</f>
        <v/>
      </c>
    </row>
    <row r="20" spans="1:16" x14ac:dyDescent="0.2">
      <c r="A20" s="2" t="str">
        <f>Data!F4</f>
        <v>Axle 3</v>
      </c>
      <c r="B20" s="15" t="str">
        <f>Data!G4</f>
        <v/>
      </c>
      <c r="C20" s="4" t="str">
        <f t="shared" ref="C20:C30" si="9">IF(AND(B4&lt;&gt;"",B20=""), "ERROR", "Okay")</f>
        <v>Okay</v>
      </c>
      <c r="D20" s="4" t="str">
        <f t="shared" ref="D20:D30" si="10">IF(AND(C4&lt;&gt;"",B20=""), "ERROR", "Okay")</f>
        <v>Okay</v>
      </c>
      <c r="E20" s="34" t="str">
        <f>IF(AND(B20="", OR(B21&lt;&gt;"", B22&lt;&gt;"", B23&lt;&gt;"", B24&lt;&gt;"", B25&lt;&gt;"", B26&lt;&gt;"", B27&lt;&gt;"", B28&lt;&gt;"", B29&lt;&gt;"", B30&lt;&gt;"")), "ERROR", "Okay")</f>
        <v>Okay</v>
      </c>
      <c r="F20" s="51" t="str">
        <f t="shared" si="6"/>
        <v>Okay</v>
      </c>
      <c r="J20" s="48" t="s">
        <v>171</v>
      </c>
      <c r="K20" s="47">
        <f t="shared" si="7"/>
        <v>0</v>
      </c>
      <c r="L20" s="49" t="str">
        <f>IF(K20&gt;0,IF(OR(K21&gt;0, K22&gt;0,K23&gt;0,K24&gt;0,K25&gt;0,K26&gt;0,K27&gt;0,K28&gt;0,K29&gt;0,K30&gt;0),CONCATENATE(J20,", "),J20),"")</f>
        <v/>
      </c>
      <c r="N20" s="48" t="s">
        <v>171</v>
      </c>
      <c r="O20" s="47">
        <f t="shared" si="8"/>
        <v>0</v>
      </c>
      <c r="P20" s="49" t="str">
        <f>IF(O20&gt;0,IF(OR(O21&gt;0, O22&gt;0,O23&gt;0,O24&gt;0,O25&gt;0,O26&gt;0,O27&gt;0,O28&gt;0,O29&gt;0,O30&gt;0),CONCATENATE(N20,", "),N20),"")</f>
        <v/>
      </c>
    </row>
    <row r="21" spans="1:16" x14ac:dyDescent="0.2">
      <c r="A21" s="2" t="str">
        <f>Data!F5</f>
        <v>Axle 4</v>
      </c>
      <c r="B21" s="15" t="str">
        <f>Data!G5</f>
        <v/>
      </c>
      <c r="C21" s="4" t="str">
        <f t="shared" si="9"/>
        <v>Okay</v>
      </c>
      <c r="D21" s="4" t="str">
        <f t="shared" si="10"/>
        <v>Okay</v>
      </c>
      <c r="E21" s="34" t="str">
        <f>IF(AND(B21="", OR(B22&lt;&gt;"", B23&lt;&gt;"", B24&lt;&gt;"", B25&lt;&gt;"", B26&lt;&gt;"", B27&lt;&gt;"", B28&lt;&gt;"", B29&lt;&gt;"", B30&lt;&gt;"")), "ERROR", "Okay")</f>
        <v>Okay</v>
      </c>
      <c r="F21" s="51" t="str">
        <f t="shared" si="6"/>
        <v>Okay</v>
      </c>
      <c r="J21" s="48" t="s">
        <v>172</v>
      </c>
      <c r="K21" s="47">
        <f t="shared" si="7"/>
        <v>0</v>
      </c>
      <c r="L21" s="49" t="str">
        <f>IF(K21&gt;0,IF(OR(K22&gt;0, K23&gt;0,K24&gt;0,K25&gt;0,K26&gt;0,K27&gt;0,K28&gt;0,K29&gt;0,K30&gt;0),CONCATENATE(J21,", "),J21),"")</f>
        <v/>
      </c>
      <c r="N21" s="48" t="s">
        <v>172</v>
      </c>
      <c r="O21" s="47">
        <f t="shared" si="8"/>
        <v>0</v>
      </c>
      <c r="P21" s="49" t="str">
        <f>IF(O21&gt;0,IF(OR(O22&gt;0, O23&gt;0,O24&gt;0,O25&gt;0,O26&gt;0,O27&gt;0,O28&gt;0,O29&gt;0,O30&gt;0),CONCATENATE(N21,", "),N21),"")</f>
        <v/>
      </c>
    </row>
    <row r="22" spans="1:16" x14ac:dyDescent="0.2">
      <c r="A22" s="2" t="str">
        <f>Data!F6</f>
        <v>Axle 5</v>
      </c>
      <c r="B22" s="15" t="str">
        <f>Data!G6</f>
        <v/>
      </c>
      <c r="C22" s="4" t="str">
        <f t="shared" si="9"/>
        <v>Okay</v>
      </c>
      <c r="D22" s="4" t="str">
        <f t="shared" si="10"/>
        <v>Okay</v>
      </c>
      <c r="E22" s="34" t="str">
        <f>IF(AND(B22="", OR(B23&lt;&gt;"", B24&lt;&gt;"", B25&lt;&gt;"", B26&lt;&gt;"", B27&lt;&gt;"", B28&lt;&gt;"", B29&lt;&gt;"", B30&lt;&gt;"")), "ERROR", "Okay")</f>
        <v>Okay</v>
      </c>
      <c r="F22" s="51" t="str">
        <f t="shared" si="6"/>
        <v>Okay</v>
      </c>
      <c r="J22" s="48" t="s">
        <v>173</v>
      </c>
      <c r="K22" s="47">
        <f t="shared" si="7"/>
        <v>0</v>
      </c>
      <c r="L22" s="49" t="str">
        <f>IF(K22&gt;0,IF(OR(K23&gt;0, K24&gt;0,K25&gt;0,K26&gt;0,K27&gt;0,K28&gt;0,K29&gt;0,K30&gt;0),CONCATENATE(J22,", "),J22),"")</f>
        <v/>
      </c>
      <c r="N22" s="48" t="s">
        <v>173</v>
      </c>
      <c r="O22" s="47">
        <f t="shared" si="8"/>
        <v>0</v>
      </c>
      <c r="P22" s="49" t="str">
        <f>IF(O22&gt;0,IF(OR(O23&gt;0, O24&gt;0,O25&gt;0,O26&gt;0,O27&gt;0,O28&gt;0,O29&gt;0,O30&gt;0),CONCATENATE(N22,", "),N22),"")</f>
        <v/>
      </c>
    </row>
    <row r="23" spans="1:16" x14ac:dyDescent="0.2">
      <c r="A23" s="2" t="str">
        <f>Data!F7</f>
        <v>Axle 6</v>
      </c>
      <c r="B23" s="15" t="str">
        <f>Data!G7</f>
        <v/>
      </c>
      <c r="C23" s="4" t="str">
        <f t="shared" si="9"/>
        <v>Okay</v>
      </c>
      <c r="D23" s="4" t="str">
        <f t="shared" si="10"/>
        <v>Okay</v>
      </c>
      <c r="E23" s="34" t="str">
        <f>IF(AND(B23="", OR(B24&lt;&gt;"", B25&lt;&gt;"", B26&lt;&gt;"", B27&lt;&gt;"", B28&lt;&gt;"", B29&lt;&gt;"", B30&lt;&gt;"")), "ERROR", "Okay")</f>
        <v>Okay</v>
      </c>
      <c r="F23" s="51" t="str">
        <f t="shared" si="6"/>
        <v>Okay</v>
      </c>
      <c r="J23" s="48" t="s">
        <v>174</v>
      </c>
      <c r="K23" s="47">
        <f t="shared" si="7"/>
        <v>0</v>
      </c>
      <c r="L23" s="49" t="str">
        <f>IF(K23&gt;0,IF(OR(K24&gt;0, K25&gt;0,K26&gt;0,K27&gt;0,K28&gt;0,K29&gt;0,K30&gt;0,K30&gt;0),CONCATENATE(J23,", "),J23),"")</f>
        <v/>
      </c>
      <c r="N23" s="48" t="s">
        <v>174</v>
      </c>
      <c r="O23" s="47">
        <f t="shared" si="8"/>
        <v>0</v>
      </c>
      <c r="P23" s="49" t="str">
        <f>IF(O23&gt;0,IF(OR(O24&gt;0, O25&gt;0,O26&gt;0,O27&gt;0,O28&gt;0,O29&gt;0,O30&gt;0,O30&gt;0),CONCATENATE(N23,", "),N23),"")</f>
        <v/>
      </c>
    </row>
    <row r="24" spans="1:16" x14ac:dyDescent="0.2">
      <c r="A24" s="2" t="str">
        <f>Data!F8</f>
        <v>Axle 7</v>
      </c>
      <c r="B24" s="15" t="str">
        <f>Data!G8</f>
        <v/>
      </c>
      <c r="C24" s="4" t="str">
        <f t="shared" si="9"/>
        <v>Okay</v>
      </c>
      <c r="D24" s="4" t="str">
        <f t="shared" si="10"/>
        <v>Okay</v>
      </c>
      <c r="E24" s="34" t="str">
        <f>IF(AND(B24="", OR(B25&lt;&gt;"", B26&lt;&gt;"", B27&lt;&gt;"", B28&lt;&gt;"", B29&lt;&gt;"", B30&lt;&gt;"")), "ERROR", "Okay")</f>
        <v>Okay</v>
      </c>
      <c r="F24" s="51" t="str">
        <f t="shared" si="6"/>
        <v>Okay</v>
      </c>
      <c r="J24" s="48" t="s">
        <v>175</v>
      </c>
      <c r="K24" s="47">
        <f t="shared" si="7"/>
        <v>0</v>
      </c>
      <c r="L24" s="49" t="str">
        <f>IF(K24&gt;0,IF(OR(K25&gt;0, K26&gt;0,K27&gt;0,K28&gt;0,K29&gt;0,K30&gt;0),CONCATENATE(J24,", "),J24),"")</f>
        <v/>
      </c>
      <c r="N24" s="48" t="s">
        <v>175</v>
      </c>
      <c r="O24" s="47">
        <f t="shared" si="8"/>
        <v>0</v>
      </c>
      <c r="P24" s="49" t="str">
        <f>IF(O24&gt;0,IF(OR(O25&gt;0, O26&gt;0,O27&gt;0,O28&gt;0,O29&gt;0,O30&gt;0),CONCATENATE(N24,", "),N24),"")</f>
        <v/>
      </c>
    </row>
    <row r="25" spans="1:16" x14ac:dyDescent="0.2">
      <c r="A25" s="2" t="str">
        <f>Data!F9</f>
        <v>Axle 8</v>
      </c>
      <c r="B25" s="15" t="str">
        <f>Data!G9</f>
        <v/>
      </c>
      <c r="C25" s="4" t="str">
        <f t="shared" si="9"/>
        <v>Okay</v>
      </c>
      <c r="D25" s="4" t="str">
        <f t="shared" si="10"/>
        <v>Okay</v>
      </c>
      <c r="E25" s="34" t="str">
        <f>IF(AND(B25="", OR(B26&lt;&gt;"", B27&lt;&gt;"", B28&lt;&gt;"", B29&lt;&gt;"", B30&lt;&gt;"")), "ERROR", "Okay")</f>
        <v>Okay</v>
      </c>
      <c r="F25" s="51" t="str">
        <f t="shared" si="6"/>
        <v>Okay</v>
      </c>
      <c r="J25" s="48" t="s">
        <v>176</v>
      </c>
      <c r="K25" s="47">
        <f t="shared" si="7"/>
        <v>0</v>
      </c>
      <c r="L25" s="49" t="str">
        <f>IF(K25&gt;0,IF(OR(K26&gt;0, K27&gt;0,K28&gt;0,K29&gt;0,K30&gt;0),CONCATENATE(J25,", "),J25),"")</f>
        <v/>
      </c>
      <c r="N25" s="48" t="s">
        <v>176</v>
      </c>
      <c r="O25" s="47">
        <f t="shared" si="8"/>
        <v>0</v>
      </c>
      <c r="P25" s="49" t="str">
        <f>IF(O25&gt;0,IF(OR(O26&gt;0, O27&gt;0,O28&gt;0,O29&gt;0,O30&gt;0),CONCATENATE(N25,", "),N25),"")</f>
        <v/>
      </c>
    </row>
    <row r="26" spans="1:16" x14ac:dyDescent="0.2">
      <c r="A26" s="2" t="str">
        <f>Data!F10</f>
        <v>Axle 9</v>
      </c>
      <c r="B26" s="15" t="str">
        <f>Data!G10</f>
        <v/>
      </c>
      <c r="C26" s="4" t="str">
        <f t="shared" si="9"/>
        <v>Okay</v>
      </c>
      <c r="D26" s="4" t="str">
        <f t="shared" si="10"/>
        <v>Okay</v>
      </c>
      <c r="E26" s="34" t="str">
        <f>IF(AND(B26="", OR(B27&lt;&gt;"", B28&lt;&gt;"", B29&lt;&gt;"", B30&lt;&gt;"")), "ERROR", "Okay")</f>
        <v>Okay</v>
      </c>
      <c r="F26" s="51" t="str">
        <f t="shared" si="6"/>
        <v>Okay</v>
      </c>
      <c r="J26" s="48" t="s">
        <v>177</v>
      </c>
      <c r="K26" s="47">
        <f t="shared" si="7"/>
        <v>0</v>
      </c>
      <c r="L26" s="49" t="str">
        <f>IF(K26&gt;0,IF(OR(K27&gt;0, K28&gt;0,K29&gt;0,K30&gt;0),CONCATENATE(J26,", "),J26),"")</f>
        <v/>
      </c>
      <c r="N26" s="48" t="s">
        <v>177</v>
      </c>
      <c r="O26" s="47">
        <f t="shared" si="8"/>
        <v>0</v>
      </c>
      <c r="P26" s="49" t="str">
        <f>IF(O26&gt;0,IF(OR(O27&gt;0, O28&gt;0,O29&gt;0,O30&gt;0),CONCATENATE(N26,", "),N26),"")</f>
        <v/>
      </c>
    </row>
    <row r="27" spans="1:16" x14ac:dyDescent="0.2">
      <c r="A27" s="2" t="str">
        <f>Data!F11</f>
        <v>Axle 10</v>
      </c>
      <c r="B27" s="15" t="str">
        <f>Data!G11</f>
        <v/>
      </c>
      <c r="C27" s="4" t="str">
        <f t="shared" si="9"/>
        <v>Okay</v>
      </c>
      <c r="D27" s="4" t="str">
        <f t="shared" si="10"/>
        <v>Okay</v>
      </c>
      <c r="E27" s="34" t="str">
        <f>IF(AND(B27="", OR(B28&lt;&gt;"", B29&lt;&gt;"", B30&lt;&gt;"")), "ERROR", "Okay")</f>
        <v>Okay</v>
      </c>
      <c r="F27" s="51" t="str">
        <f t="shared" si="6"/>
        <v>Okay</v>
      </c>
      <c r="J27" s="48" t="s">
        <v>178</v>
      </c>
      <c r="K27" s="47">
        <f t="shared" si="7"/>
        <v>0</v>
      </c>
      <c r="L27" s="49" t="str">
        <f>IF(K27&gt;0,IF(OR(K28&gt;0, K29&gt;0,K30&gt;0),CONCATENATE(J27,", "),J27),"")</f>
        <v/>
      </c>
      <c r="N27" s="48" t="s">
        <v>178</v>
      </c>
      <c r="O27" s="47">
        <f t="shared" si="8"/>
        <v>0</v>
      </c>
      <c r="P27" s="49" t="str">
        <f>IF(O27&gt;0,IF(OR(O28&gt;0, O29&gt;0,O30&gt;0),CONCATENATE(N27,", "),N27),"")</f>
        <v/>
      </c>
    </row>
    <row r="28" spans="1:16" x14ac:dyDescent="0.2">
      <c r="A28" s="2" t="str">
        <f>Data!F12</f>
        <v>Axle 11</v>
      </c>
      <c r="B28" s="15" t="str">
        <f>Data!G12</f>
        <v/>
      </c>
      <c r="C28" s="4" t="str">
        <f t="shared" si="9"/>
        <v>Okay</v>
      </c>
      <c r="D28" s="4" t="str">
        <f t="shared" si="10"/>
        <v>Okay</v>
      </c>
      <c r="E28" s="34" t="str">
        <f>IF(AND(B28="", OR(B29&lt;&gt;"", B30&lt;&gt;"")), "ERROR", "Okay")</f>
        <v>Okay</v>
      </c>
      <c r="F28" s="51" t="str">
        <f t="shared" si="6"/>
        <v>Okay</v>
      </c>
      <c r="J28" s="48" t="s">
        <v>179</v>
      </c>
      <c r="K28" s="47">
        <f t="shared" si="7"/>
        <v>0</v>
      </c>
      <c r="L28" s="49" t="str">
        <f>IF(K28&gt;0,IF(OR(K29&gt;0, K30&gt;0),CONCATENATE(J28,", "),J28),"")</f>
        <v/>
      </c>
      <c r="N28" s="48" t="s">
        <v>179</v>
      </c>
      <c r="O28" s="47">
        <f t="shared" si="8"/>
        <v>0</v>
      </c>
      <c r="P28" s="49" t="str">
        <f>IF(O28&gt;0,IF(OR(O29&gt;0, O30&gt;0),CONCATENATE(N28,", "),N28),"")</f>
        <v/>
      </c>
    </row>
    <row r="29" spans="1:16" x14ac:dyDescent="0.2">
      <c r="A29" s="2" t="str">
        <f>Data!F13</f>
        <v>Axle 12</v>
      </c>
      <c r="B29" s="15" t="str">
        <f>Data!G13</f>
        <v/>
      </c>
      <c r="C29" s="4" t="str">
        <f t="shared" si="9"/>
        <v>Okay</v>
      </c>
      <c r="D29" s="4" t="str">
        <f t="shared" si="10"/>
        <v>Okay</v>
      </c>
      <c r="E29" s="34" t="str">
        <f>IF(AND(B29="", B30&lt;&gt;""), "ERROR", "Okay")</f>
        <v>Okay</v>
      </c>
      <c r="F29" s="51" t="str">
        <f t="shared" si="6"/>
        <v>Okay</v>
      </c>
      <c r="J29" s="48" t="s">
        <v>180</v>
      </c>
      <c r="K29" s="47">
        <f t="shared" si="7"/>
        <v>0</v>
      </c>
      <c r="L29" s="49" t="str">
        <f>IF(K29&gt;0,IF(K30&gt;0,CONCATENATE(J29,", "),J29),"")</f>
        <v/>
      </c>
      <c r="N29" s="48" t="s">
        <v>180</v>
      </c>
      <c r="O29" s="47">
        <f t="shared" si="8"/>
        <v>0</v>
      </c>
      <c r="P29" s="49" t="str">
        <f>IF(O29&gt;0,IF(O30&gt;0,CONCATENATE(N29,", "),N29),"")</f>
        <v/>
      </c>
    </row>
    <row r="30" spans="1:16" x14ac:dyDescent="0.2">
      <c r="A30" s="2" t="str">
        <f>Data!F14</f>
        <v>Axle 13</v>
      </c>
      <c r="B30" s="15" t="str">
        <f>Data!G14</f>
        <v/>
      </c>
      <c r="C30" s="4" t="str">
        <f t="shared" si="9"/>
        <v>Okay</v>
      </c>
      <c r="D30" s="4" t="str">
        <f t="shared" si="10"/>
        <v>Okay</v>
      </c>
      <c r="E30" s="34"/>
      <c r="F30" s="51" t="str">
        <f t="shared" si="6"/>
        <v>Okay</v>
      </c>
      <c r="J30" s="48" t="s">
        <v>181</v>
      </c>
      <c r="K30" s="47">
        <f t="shared" si="7"/>
        <v>0</v>
      </c>
      <c r="L30" s="49" t="str">
        <f>IF(K30&gt;0,J30,"")</f>
        <v/>
      </c>
      <c r="N30" s="48" t="s">
        <v>181</v>
      </c>
      <c r="O30" s="47">
        <f t="shared" si="8"/>
        <v>0</v>
      </c>
      <c r="P30" s="49" t="str">
        <f>IF(O30&gt;0,N30,"")</f>
        <v/>
      </c>
    </row>
    <row r="31" spans="1:16" x14ac:dyDescent="0.2">
      <c r="C31" s="35">
        <f>COUNTIF(C18:C30, "ERROR")</f>
        <v>0</v>
      </c>
      <c r="D31" s="35">
        <f>COUNTIF(D18:D30, "ERROR")</f>
        <v>0</v>
      </c>
      <c r="E31" s="35">
        <f>COUNTIF(E18:E30, "ERROR")</f>
        <v>0</v>
      </c>
      <c r="F31" s="35">
        <f>COUNTIF(F18:F30, "ERROR")</f>
        <v>0</v>
      </c>
    </row>
    <row r="34" spans="1:8" x14ac:dyDescent="0.2">
      <c r="D34" s="41" t="s">
        <v>153</v>
      </c>
      <c r="E34" s="42"/>
      <c r="F34" s="42"/>
      <c r="G34" s="42"/>
      <c r="H34" s="43"/>
    </row>
    <row r="35" spans="1:8" x14ac:dyDescent="0.2">
      <c r="A35" s="100" t="s">
        <v>182</v>
      </c>
      <c r="B35" s="101"/>
      <c r="C35" s="50">
        <f>SUM(D15:H15)</f>
        <v>0</v>
      </c>
      <c r="D35" s="52" t="str">
        <f>CONCATENATE("Check inputted spacings for axles ", L3, L4, L5, L6, L7, L8, L9, L10, L11, L12, L13, L14, ".")</f>
        <v>Check inputted spacings for axles .</v>
      </c>
      <c r="E35" s="53"/>
      <c r="F35" s="53"/>
      <c r="G35" s="53"/>
      <c r="H35" s="54"/>
    </row>
    <row r="36" spans="1:8" x14ac:dyDescent="0.2">
      <c r="A36" s="95" t="s">
        <v>183</v>
      </c>
      <c r="B36" s="96"/>
      <c r="C36" s="35">
        <f>SUM(C31:E31)</f>
        <v>0</v>
      </c>
      <c r="D36" s="44" t="str">
        <f>CONCATENATE("Need to input weight for axle(s) ", L18, L19, L20, L21, L22, L23, L24, L25, L26, L27, L28, L29, L30, ".")</f>
        <v>Need to input weight for axle(s) .</v>
      </c>
      <c r="E36" s="45"/>
      <c r="F36" s="45"/>
      <c r="G36" s="45"/>
      <c r="H36" s="46"/>
    </row>
    <row r="37" spans="1:8" x14ac:dyDescent="0.2">
      <c r="A37" s="95" t="s">
        <v>148</v>
      </c>
      <c r="B37" s="96"/>
      <c r="C37" s="36">
        <f>SUM(C35:C36)</f>
        <v>0</v>
      </c>
    </row>
    <row r="39" spans="1:8" x14ac:dyDescent="0.2">
      <c r="A39" s="95" t="s">
        <v>184</v>
      </c>
      <c r="B39" s="96"/>
      <c r="C39" s="35">
        <f>SUM(F31)</f>
        <v>0</v>
      </c>
      <c r="D39" s="44" t="str">
        <f>CONCATENATE("Maximum weight per axle is 20,000 lbs.  Check axle(s) ", P18, P19, P20, P21, P22, P23, P24, P25, P26, P27, P28, P29, P30, ".")</f>
        <v>Maximum weight per axle is 20,000 lbs.  Check axle(s) .</v>
      </c>
      <c r="E39" s="45"/>
      <c r="F39" s="45"/>
      <c r="G39" s="45"/>
      <c r="H39" s="46"/>
    </row>
  </sheetData>
  <sheetProtection sheet="1" objects="1" scenarios="1"/>
  <mergeCells count="7">
    <mergeCell ref="A39:B39"/>
    <mergeCell ref="J1:L1"/>
    <mergeCell ref="J16:L16"/>
    <mergeCell ref="N16:P16"/>
    <mergeCell ref="A37:B37"/>
    <mergeCell ref="A36:B36"/>
    <mergeCell ref="A35:B35"/>
  </mergeCells>
  <pageMargins left="0.7" right="0.7" top="0.75" bottom="0.75" header="0.3" footer="0.3"/>
  <pageSetup orientation="portrait" r:id="rId1"/>
  <ignoredErrors>
    <ignoredError sqref="J18:J30 N18:N30"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Weights by Axle</vt:lpstr>
      <vt:lpstr>Data</vt:lpstr>
      <vt:lpstr>Restrictions</vt:lpstr>
      <vt:lpstr>Input Error Detection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Charlie Bussey</dc:creator>
  <cp:lastModifiedBy>Charlie Bussey</cp:lastModifiedBy>
  <cp:lastPrinted>2017-06-12T16:46:01Z</cp:lastPrinted>
  <dcterms:created xsi:type="dcterms:W3CDTF">2017-02-25T03:29:33Z</dcterms:created>
  <dcterms:modified xsi:type="dcterms:W3CDTF">2018-03-01T00:03:02Z</dcterms:modified>
</cp:coreProperties>
</file>